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cht\Desktop\"/>
    </mc:Choice>
  </mc:AlternateContent>
  <xr:revisionPtr revIDLastSave="0" documentId="8_{B020A7C4-02F0-471A-BA8B-D5AD827C5CC8}" xr6:coauthVersionLast="45" xr6:coauthVersionMax="45" xr10:uidLastSave="{00000000-0000-0000-0000-000000000000}"/>
  <bookViews>
    <workbookView xWindow="11100" yWindow="1980" windowWidth="38445" windowHeight="16590" xr2:uid="{00000000-000D-0000-FFFF-FFFF00000000}"/>
  </bookViews>
  <sheets>
    <sheet name="Main" sheetId="5" r:id="rId1"/>
    <sheet name="Sheet1" sheetId="6" r:id="rId2"/>
    <sheet name="KEEP" sheetId="3" r:id="rId3"/>
  </sheets>
  <definedNames>
    <definedName name="_xlnm.Print_Area" localSheetId="0">Main!$A$1:$O$57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5" l="1"/>
  <c r="L11" i="5"/>
  <c r="J11" i="5"/>
  <c r="F11" i="5" l="1"/>
  <c r="F19" i="5"/>
  <c r="H11" i="5" l="1"/>
  <c r="Y19" i="5" l="1"/>
  <c r="D6" i="5" l="1"/>
  <c r="L6" i="5" l="1"/>
  <c r="J6" i="5"/>
  <c r="N6" i="5"/>
  <c r="H6" i="5"/>
  <c r="F6" i="5"/>
  <c r="D9" i="5"/>
  <c r="F9" i="5" s="1"/>
  <c r="D7" i="5"/>
  <c r="D8" i="5"/>
  <c r="D5" i="5"/>
  <c r="O28" i="5"/>
  <c r="O29" i="5"/>
  <c r="O30" i="5"/>
  <c r="O34" i="5"/>
  <c r="O35" i="5"/>
  <c r="O39" i="5"/>
  <c r="O40" i="5"/>
  <c r="O41" i="5"/>
  <c r="O42" i="5"/>
  <c r="O43" i="5"/>
  <c r="O47" i="5"/>
  <c r="O48" i="5"/>
  <c r="O49" i="5"/>
  <c r="O50" i="5"/>
  <c r="O52" i="5"/>
  <c r="W32" i="5"/>
  <c r="W31" i="5"/>
  <c r="X31" i="5"/>
  <c r="W30" i="5"/>
  <c r="W27" i="5"/>
  <c r="W28" i="5"/>
  <c r="W26" i="5"/>
  <c r="W29" i="5"/>
  <c r="A22" i="5"/>
  <c r="A23" i="5"/>
  <c r="A19" i="5"/>
  <c r="N9" i="5" l="1"/>
  <c r="J9" i="5"/>
  <c r="L9" i="5"/>
  <c r="H9" i="5"/>
  <c r="L8" i="5"/>
  <c r="H8" i="5"/>
  <c r="J8" i="5"/>
  <c r="F8" i="5"/>
  <c r="N8" i="5"/>
  <c r="L7" i="5"/>
  <c r="H7" i="5"/>
  <c r="J7" i="5"/>
  <c r="F7" i="5"/>
  <c r="N7" i="5"/>
  <c r="L5" i="5"/>
  <c r="F5" i="5"/>
  <c r="N5" i="5"/>
  <c r="J5" i="5"/>
  <c r="H5" i="5"/>
  <c r="B11" i="5"/>
  <c r="D11" i="5" s="1"/>
  <c r="S11" i="5"/>
  <c r="X32" i="5"/>
  <c r="X30" i="5"/>
  <c r="X27" i="5"/>
  <c r="X28" i="5"/>
  <c r="X26" i="5"/>
  <c r="Y32" i="5"/>
  <c r="Y31" i="5"/>
  <c r="Y30" i="5"/>
  <c r="Y27" i="5"/>
  <c r="Y28" i="5"/>
  <c r="Y29" i="5"/>
  <c r="Y26" i="5"/>
  <c r="Z29" i="5"/>
  <c r="R8" i="5"/>
  <c r="S8" i="5"/>
  <c r="V8" i="5" s="1"/>
  <c r="X8" i="5"/>
  <c r="Y8" i="5"/>
  <c r="Z8" i="5"/>
  <c r="X6" i="5"/>
  <c r="X7" i="5"/>
  <c r="X5" i="5"/>
  <c r="S7" i="5"/>
  <c r="AA7" i="5" s="1"/>
  <c r="S9" i="5"/>
  <c r="S5" i="5"/>
  <c r="W5" i="5" s="1"/>
  <c r="R7" i="5"/>
  <c r="Y7" i="5"/>
  <c r="Z7" i="5"/>
  <c r="A18" i="5"/>
  <c r="X10" i="5"/>
  <c r="X9" i="5"/>
  <c r="B51" i="5" l="1"/>
  <c r="H51" i="5" s="1"/>
  <c r="S6" i="5"/>
  <c r="S10" i="5"/>
  <c r="AC10" i="5" s="1"/>
  <c r="D10" i="5"/>
  <c r="AC8" i="5"/>
  <c r="AB8" i="5"/>
  <c r="AA8" i="5"/>
  <c r="W8" i="5"/>
  <c r="AD8" i="5"/>
  <c r="V5" i="5"/>
  <c r="AA5" i="5"/>
  <c r="W7" i="5"/>
  <c r="AD7" i="5"/>
  <c r="V7" i="5"/>
  <c r="AC7" i="5"/>
  <c r="AB7" i="5"/>
  <c r="A21" i="5"/>
  <c r="R10" i="5"/>
  <c r="Y10" i="5"/>
  <c r="Z10" i="5"/>
  <c r="Z31" i="5"/>
  <c r="Z32" i="5"/>
  <c r="Z27" i="5"/>
  <c r="Z28" i="5"/>
  <c r="R6" i="5"/>
  <c r="R9" i="5"/>
  <c r="R11" i="5"/>
  <c r="R12" i="5"/>
  <c r="R5" i="5"/>
  <c r="Y11" i="5"/>
  <c r="Z11" i="5"/>
  <c r="Y12" i="5"/>
  <c r="Z12" i="5"/>
  <c r="J51" i="5" l="1"/>
  <c r="F51" i="5"/>
  <c r="L51" i="5"/>
  <c r="N51" i="5"/>
  <c r="O11" i="5"/>
  <c r="J10" i="5"/>
  <c r="H10" i="5"/>
  <c r="N10" i="5"/>
  <c r="F10" i="5"/>
  <c r="L10" i="5"/>
  <c r="S12" i="5"/>
  <c r="W12" i="5" s="1"/>
  <c r="D12" i="5"/>
  <c r="Z30" i="5"/>
  <c r="Z26" i="5"/>
  <c r="AE8" i="5"/>
  <c r="AF8" i="5" s="1"/>
  <c r="B19" i="5" s="1"/>
  <c r="AE7" i="5"/>
  <c r="AF7" i="5" s="1"/>
  <c r="B18" i="5" s="1"/>
  <c r="V10" i="5"/>
  <c r="AD10" i="5"/>
  <c r="AA10" i="5"/>
  <c r="AB10" i="5"/>
  <c r="W10" i="5"/>
  <c r="AD12" i="5" l="1"/>
  <c r="L12" i="5"/>
  <c r="N12" i="5"/>
  <c r="J12" i="5"/>
  <c r="F12" i="5"/>
  <c r="F23" i="5" s="1"/>
  <c r="H12" i="5"/>
  <c r="AC12" i="5"/>
  <c r="V12" i="5"/>
  <c r="AB12" i="5"/>
  <c r="O10" i="5"/>
  <c r="N18" i="5"/>
  <c r="L18" i="5"/>
  <c r="H18" i="5"/>
  <c r="J18" i="5"/>
  <c r="H19" i="5"/>
  <c r="J19" i="5"/>
  <c r="O7" i="5"/>
  <c r="F18" i="5"/>
  <c r="AE10" i="5"/>
  <c r="AF10" i="5" s="1"/>
  <c r="B21" i="5" s="1"/>
  <c r="AE12" i="5" l="1"/>
  <c r="AF12" i="5" s="1"/>
  <c r="N21" i="5"/>
  <c r="L21" i="5"/>
  <c r="J21" i="5"/>
  <c r="H21" i="5"/>
  <c r="F21" i="5"/>
  <c r="O18" i="5"/>
  <c r="AC6" i="5"/>
  <c r="AC9" i="5"/>
  <c r="AC5" i="5"/>
  <c r="AD5" i="5"/>
  <c r="AB5" i="5"/>
  <c r="E23" i="3"/>
  <c r="E22" i="3"/>
  <c r="E20" i="3"/>
  <c r="E21" i="3"/>
  <c r="O21" i="5" l="1"/>
  <c r="X11" i="5" l="1"/>
  <c r="J36" i="5"/>
  <c r="L36" i="5"/>
  <c r="J31" i="5"/>
  <c r="L31" i="5"/>
  <c r="H44" i="5" l="1"/>
  <c r="J44" i="5"/>
  <c r="L44" i="5"/>
  <c r="N44" i="5"/>
  <c r="F44" i="5"/>
  <c r="V6" i="5"/>
  <c r="W6" i="5"/>
  <c r="AA6" i="5"/>
  <c r="AD6" i="5"/>
  <c r="V9" i="5"/>
  <c r="W9" i="5"/>
  <c r="AA9" i="5"/>
  <c r="AD9" i="5"/>
  <c r="H23" i="5"/>
  <c r="F31" i="5"/>
  <c r="F36" i="5"/>
  <c r="N31" i="5"/>
  <c r="N36" i="5"/>
  <c r="H31" i="5"/>
  <c r="H36" i="5"/>
  <c r="A20" i="5"/>
  <c r="A17" i="5"/>
  <c r="A16" i="5"/>
  <c r="A15" i="6"/>
  <c r="A16" i="6"/>
  <c r="A17" i="6"/>
  <c r="A14" i="6"/>
  <c r="H36" i="6"/>
  <c r="H37" i="6"/>
  <c r="H40" i="6" s="1"/>
  <c r="H38" i="6"/>
  <c r="H39" i="6"/>
  <c r="F9" i="6"/>
  <c r="G9" i="6"/>
  <c r="I9" i="6"/>
  <c r="J9" i="6"/>
  <c r="K9" i="6"/>
  <c r="L9" i="6"/>
  <c r="M9" i="6"/>
  <c r="F8" i="6"/>
  <c r="G8" i="6"/>
  <c r="H8" i="6"/>
  <c r="I8" i="6"/>
  <c r="J8" i="6"/>
  <c r="K8" i="6"/>
  <c r="L8" i="6"/>
  <c r="M8" i="6"/>
  <c r="F7" i="6"/>
  <c r="G7" i="6"/>
  <c r="H7" i="6"/>
  <c r="I7" i="6"/>
  <c r="J7" i="6"/>
  <c r="K7" i="6"/>
  <c r="C7" i="6"/>
  <c r="L7" i="6" s="1"/>
  <c r="M7" i="6"/>
  <c r="F6" i="6"/>
  <c r="G6" i="6"/>
  <c r="H6" i="6"/>
  <c r="I6" i="6"/>
  <c r="J6" i="6"/>
  <c r="K6" i="6"/>
  <c r="C6" i="6"/>
  <c r="L6" i="6"/>
  <c r="M6" i="6"/>
  <c r="F5" i="6"/>
  <c r="G5" i="6"/>
  <c r="H5" i="6"/>
  <c r="I5" i="6"/>
  <c r="J5" i="6"/>
  <c r="K5" i="6"/>
  <c r="C5" i="6"/>
  <c r="L5" i="6"/>
  <c r="M5" i="6"/>
  <c r="F4" i="6"/>
  <c r="G4" i="6"/>
  <c r="H4" i="6"/>
  <c r="I4" i="6"/>
  <c r="J4" i="6"/>
  <c r="K4" i="6"/>
  <c r="C4" i="6"/>
  <c r="L4" i="6"/>
  <c r="M4" i="6"/>
  <c r="AB6" i="5"/>
  <c r="AB9" i="5"/>
  <c r="Y5" i="5"/>
  <c r="Z5" i="5"/>
  <c r="Y6" i="5"/>
  <c r="Z6" i="5"/>
  <c r="Y9" i="5"/>
  <c r="Z9" i="5"/>
  <c r="H30" i="3"/>
  <c r="E17" i="3" s="1"/>
  <c r="H32" i="3"/>
  <c r="E19" i="3"/>
  <c r="H31" i="3"/>
  <c r="E18" i="3" s="1"/>
  <c r="H34" i="3"/>
  <c r="K12" i="3"/>
  <c r="J11" i="3"/>
  <c r="I11" i="3"/>
  <c r="J10" i="3"/>
  <c r="I10" i="3"/>
  <c r="J9" i="3"/>
  <c r="I9" i="3"/>
  <c r="E15" i="3"/>
  <c r="E16" i="3"/>
  <c r="O44" i="5" l="1"/>
  <c r="O31" i="5"/>
  <c r="O36" i="5"/>
  <c r="J23" i="5"/>
  <c r="AC11" i="5"/>
  <c r="P31" i="5"/>
  <c r="P36" i="5"/>
  <c r="P45" i="5"/>
  <c r="AE5" i="5"/>
  <c r="AF5" i="5" s="1"/>
  <c r="B16" i="5" s="1"/>
  <c r="J12" i="3"/>
  <c r="AE6" i="5"/>
  <c r="AF6" i="5" s="1"/>
  <c r="B17" i="5" s="1"/>
  <c r="AE9" i="5"/>
  <c r="AF9" i="5" s="1"/>
  <c r="B20" i="5" s="1"/>
  <c r="N8" i="6"/>
  <c r="O8" i="6" s="1"/>
  <c r="I12" i="3"/>
  <c r="N5" i="6"/>
  <c r="O5" i="6" s="1"/>
  <c r="N4" i="6"/>
  <c r="O4" i="6" s="1"/>
  <c r="N7" i="6"/>
  <c r="O7" i="6" s="1"/>
  <c r="N9" i="6"/>
  <c r="O9" i="6" s="1"/>
  <c r="E24" i="3"/>
  <c r="E25" i="3" s="1"/>
  <c r="N6" i="6"/>
  <c r="O6" i="6" s="1"/>
  <c r="O9" i="5" l="1"/>
  <c r="L16" i="5"/>
  <c r="F16" i="5"/>
  <c r="H16" i="5"/>
  <c r="J20" i="5"/>
  <c r="H20" i="5"/>
  <c r="N20" i="5"/>
  <c r="L20" i="5"/>
  <c r="L23" i="5"/>
  <c r="H17" i="5"/>
  <c r="AB11" i="5"/>
  <c r="W11" i="5"/>
  <c r="AD11" i="5"/>
  <c r="V11" i="5"/>
  <c r="J53" i="5"/>
  <c r="N53" i="5"/>
  <c r="L53" i="5"/>
  <c r="H53" i="5"/>
  <c r="F17" i="5"/>
  <c r="G9" i="3"/>
  <c r="J17" i="5"/>
  <c r="O5" i="5"/>
  <c r="O51" i="5" l="1"/>
  <c r="P54" i="5" s="1"/>
  <c r="N23" i="5"/>
  <c r="O12" i="5"/>
  <c r="N16" i="5"/>
  <c r="AE11" i="5"/>
  <c r="AF11" i="5" s="1"/>
  <c r="H13" i="5"/>
  <c r="H56" i="5" s="1"/>
  <c r="F20" i="5"/>
  <c r="J16" i="5"/>
  <c r="F13" i="5"/>
  <c r="F53" i="5"/>
  <c r="O53" i="5" s="1"/>
  <c r="L17" i="5"/>
  <c r="J13" i="5"/>
  <c r="O16" i="5" l="1"/>
  <c r="F56" i="5"/>
  <c r="O20" i="5"/>
  <c r="B22" i="5"/>
  <c r="F22" i="5" s="1"/>
  <c r="F24" i="5" s="1"/>
  <c r="L13" i="5"/>
  <c r="J56" i="5"/>
  <c r="N19" i="5" l="1"/>
  <c r="L19" i="5"/>
  <c r="N22" i="5"/>
  <c r="L22" i="5"/>
  <c r="H22" i="5"/>
  <c r="J22" i="5"/>
  <c r="O6" i="5"/>
  <c r="N17" i="5"/>
  <c r="O17" i="5" s="1"/>
  <c r="F25" i="5"/>
  <c r="L56" i="5"/>
  <c r="N13" i="5" l="1"/>
  <c r="O13" i="5" s="1"/>
  <c r="O19" i="5"/>
  <c r="O8" i="5"/>
  <c r="P13" i="5" s="1"/>
  <c r="P57" i="5" s="1"/>
  <c r="L24" i="5"/>
  <c r="L25" i="5" s="1"/>
  <c r="L55" i="5" s="1"/>
  <c r="L57" i="5" s="1"/>
  <c r="O22" i="5"/>
  <c r="H24" i="5"/>
  <c r="H25" i="5" s="1"/>
  <c r="H55" i="5" s="1"/>
  <c r="H57" i="5" s="1"/>
  <c r="J24" i="5"/>
  <c r="J25" i="5" s="1"/>
  <c r="J55" i="5" s="1"/>
  <c r="J57" i="5" s="1"/>
  <c r="O23" i="5"/>
  <c r="F55" i="5"/>
  <c r="N24" i="5"/>
  <c r="N56" i="5" l="1"/>
  <c r="O56" i="5" s="1"/>
  <c r="O24" i="5"/>
  <c r="P25" i="5" s="1"/>
  <c r="P58" i="5" s="1"/>
  <c r="F57" i="5"/>
  <c r="N25" i="5"/>
  <c r="O25" i="5" s="1"/>
  <c r="P56" i="5" l="1"/>
  <c r="N55" i="5"/>
  <c r="O55" i="5" s="1"/>
  <c r="N57" i="5" l="1"/>
  <c r="O5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Tracey Finch</author>
  </authors>
  <commentList>
    <comment ref="S4" authorId="0" shapeId="0" xr:uid="{BADA9261-8BD9-4753-82E9-E4D1B2F85DCF}">
      <text>
        <r>
          <rPr>
            <b/>
            <sz val="9"/>
            <color indexed="81"/>
            <rFont val="Tahoma"/>
            <family val="2"/>
          </rPr>
          <t>Tracey Finch:</t>
        </r>
        <r>
          <rPr>
            <sz val="9"/>
            <color indexed="81"/>
            <rFont val="Tahoma"/>
            <family val="2"/>
          </rPr>
          <t xml:space="preserve">
For faculty put in current 9 month salary and for others the amount they earn in a 12 month period.</t>
        </r>
      </text>
    </comment>
    <comment ref="T4" authorId="0" shapeId="0" xr:uid="{5359EAC0-C6AE-43FB-A9E5-A8D786A34E2A}">
      <text>
        <r>
          <rPr>
            <b/>
            <sz val="9"/>
            <color indexed="81"/>
            <rFont val="Tahoma"/>
            <family val="2"/>
          </rPr>
          <t>Tracey Finch:</t>
        </r>
        <r>
          <rPr>
            <sz val="9"/>
            <color indexed="81"/>
            <rFont val="Tahoma"/>
            <family val="2"/>
          </rPr>
          <t xml:space="preserve">
The individual's FTE
</t>
        </r>
      </text>
    </comment>
    <comment ref="U4" authorId="0" shapeId="0" xr:uid="{CD828D37-41B9-457C-A40C-733F0B14197F}">
      <text>
        <r>
          <rPr>
            <b/>
            <sz val="9"/>
            <color indexed="81"/>
            <rFont val="Tahoma"/>
            <family val="2"/>
          </rPr>
          <t>Tracey Finch:</t>
        </r>
        <r>
          <rPr>
            <sz val="9"/>
            <color indexed="81"/>
            <rFont val="Tahoma"/>
            <family val="2"/>
          </rPr>
          <t xml:space="preserve">
Classification and age determine retirement rate - plan.  </t>
        </r>
      </text>
    </comment>
    <comment ref="R13" authorId="0" shapeId="0" xr:uid="{4034ECB9-F439-4391-92B2-75B05B2E7B47}">
      <text>
        <r>
          <rPr>
            <b/>
            <sz val="9"/>
            <color indexed="81"/>
            <rFont val="Tahoma"/>
            <family val="2"/>
          </rPr>
          <t>Tracey Finch:</t>
        </r>
        <r>
          <rPr>
            <sz val="9"/>
            <color indexed="81"/>
            <rFont val="Tahoma"/>
            <family val="2"/>
          </rPr>
          <t xml:space="preserve">
This table works up the cost for a single grad student or multiple grad student working the same amount of time.  Standard rate applies to all GTA positions except those in AMSEC and Chemistry.  For these, select "N"
</t>
        </r>
      </text>
    </comment>
  </commentList>
</comments>
</file>

<file path=xl/sharedStrings.xml><?xml version="1.0" encoding="utf-8"?>
<sst xmlns="http://schemas.openxmlformats.org/spreadsheetml/2006/main" count="302" uniqueCount="204">
  <si>
    <t>Total</t>
  </si>
  <si>
    <t>Subtotal, salaries</t>
  </si>
  <si>
    <t>Subtotal,  fringe</t>
  </si>
  <si>
    <t>Total personnel (Salaries &amp; Fringe)</t>
  </si>
  <si>
    <t>Subtotal, Travel</t>
  </si>
  <si>
    <t>Materials/Supplies</t>
  </si>
  <si>
    <t>Publication</t>
  </si>
  <si>
    <t>Subtotal, Other Direct Costs</t>
  </si>
  <si>
    <t>Subtotal Participant Costs</t>
  </si>
  <si>
    <t>Stipends</t>
  </si>
  <si>
    <t>Subtotal, Equipment</t>
  </si>
  <si>
    <t>Tuition</t>
  </si>
  <si>
    <t>Total Costs</t>
  </si>
  <si>
    <t>Travel</t>
  </si>
  <si>
    <t>Domestic</t>
  </si>
  <si>
    <t>Foreign</t>
  </si>
  <si>
    <t>Subsistence</t>
  </si>
  <si>
    <t>Other</t>
  </si>
  <si>
    <t>Consultants</t>
  </si>
  <si>
    <t>Subawards</t>
  </si>
  <si>
    <t xml:space="preserve"> </t>
  </si>
  <si>
    <t>Units</t>
  </si>
  <si>
    <t>Equipment</t>
  </si>
  <si>
    <t>Participant Support Costs</t>
  </si>
  <si>
    <t>Total Direct Costs</t>
  </si>
  <si>
    <t>Check Sums</t>
  </si>
  <si>
    <t>Link to Faculty CBA</t>
  </si>
  <si>
    <t>Link to Student Pay Rates &amp; Job Descriptions</t>
  </si>
  <si>
    <t>Number of Participants</t>
  </si>
  <si>
    <t>Personnel (inc vacation &amp; sick leave as appropriate)</t>
  </si>
  <si>
    <t>Temporary Employee Benefits Eligibility Worksheet</t>
  </si>
  <si>
    <t xml:space="preserve">For temporary employee eligibility, please review the </t>
  </si>
  <si>
    <t>* Health insurance eligibility is determined by Benefits Services in Human Resources (360) 650-7314.</t>
  </si>
  <si>
    <t>INFORMATIONAL ONLY. This worksheet is informational and is only meant to be an estimation of actual benefit charges.</t>
  </si>
  <si>
    <t>percentage of budgeted salary</t>
  </si>
  <si>
    <t>SUI</t>
  </si>
  <si>
    <t>F960</t>
  </si>
  <si>
    <t>RET</t>
  </si>
  <si>
    <t>F920</t>
  </si>
  <si>
    <t>FML</t>
  </si>
  <si>
    <t>F935</t>
  </si>
  <si>
    <t xml:space="preserve"> times appointment percent</t>
  </si>
  <si>
    <t>monthly rate of</t>
  </si>
  <si>
    <t>LMA</t>
  </si>
  <si>
    <t>F930</t>
  </si>
  <si>
    <t>LII</t>
  </si>
  <si>
    <t xml:space="preserve"> 12 month rate for appointments ≥ 50%</t>
  </si>
  <si>
    <t>HCA</t>
  </si>
  <si>
    <t>F940</t>
  </si>
  <si>
    <t xml:space="preserve"> to maximum of</t>
  </si>
  <si>
    <t>FICA-S</t>
  </si>
  <si>
    <t>F910</t>
  </si>
  <si>
    <t>FICA-M</t>
  </si>
  <si>
    <t>F915</t>
  </si>
  <si>
    <t>TABLE D - Employer Benefit Rates</t>
  </si>
  <si>
    <t>Fringe Benefits as a Percent of Salary:</t>
  </si>
  <si>
    <t>Fringe Benefit Cost</t>
  </si>
  <si>
    <t>State Unemployment</t>
  </si>
  <si>
    <t>Retirement</t>
  </si>
  <si>
    <t>WWURP Age 50+</t>
  </si>
  <si>
    <r>
      <t xml:space="preserve">Family/Med Leave </t>
    </r>
    <r>
      <rPr>
        <sz val="11"/>
        <color rgb="FFFF0000"/>
        <rFont val="Calibri"/>
        <family val="2"/>
        <scheme val="minor"/>
      </rPr>
      <t>(Pro Staff ONLY)</t>
    </r>
  </si>
  <si>
    <t>WWURP Age 35-49</t>
  </si>
  <si>
    <t>Medical Aid</t>
  </si>
  <si>
    <t>WWURP &lt; Age 35</t>
  </si>
  <si>
    <t>Industrial Insurance</t>
  </si>
  <si>
    <t>LEOFF 2</t>
  </si>
  <si>
    <t>Health Care</t>
  </si>
  <si>
    <t>TRS 1, 2 &amp; 3</t>
  </si>
  <si>
    <t xml:space="preserve">FICA - Old </t>
  </si>
  <si>
    <t>PERS 1, 2 &amp; 3</t>
  </si>
  <si>
    <t>FICA - Medicare</t>
  </si>
  <si>
    <t>Percentage</t>
  </si>
  <si>
    <t>Retirement Plan</t>
  </si>
  <si>
    <t>Amount</t>
  </si>
  <si>
    <t>Description</t>
  </si>
  <si>
    <t>Benefit Code</t>
  </si>
  <si>
    <t>Account Code</t>
  </si>
  <si>
    <t>TABLE C - Retirement Plans</t>
  </si>
  <si>
    <t>TABLE B - Fringe Benefit Cost Worksheet</t>
  </si>
  <si>
    <t>Appointment Percent</t>
  </si>
  <si>
    <r>
      <rPr>
        <b/>
        <sz val="10"/>
        <rFont val="Calibri"/>
        <family val="2"/>
        <scheme val="minor"/>
      </rPr>
      <t xml:space="preserve">Budgeted </t>
    </r>
    <r>
      <rPr>
        <sz val="10"/>
        <rFont val="Calibri"/>
        <family val="2"/>
        <scheme val="minor"/>
      </rPr>
      <t>Annual Salary</t>
    </r>
  </si>
  <si>
    <t>Retirement Plan % from Table C</t>
  </si>
  <si>
    <t>Enter Split Below</t>
  </si>
  <si>
    <r>
      <rPr>
        <b/>
        <u/>
        <sz val="11"/>
        <color indexed="9"/>
        <rFont val="Calibri"/>
        <family val="2"/>
      </rPr>
      <t>Benefit</t>
    </r>
    <r>
      <rPr>
        <b/>
        <sz val="11"/>
        <color indexed="9"/>
        <rFont val="Calibri"/>
        <family val="2"/>
      </rPr>
      <t xml:space="preserve"> Split Total</t>
    </r>
  </si>
  <si>
    <r>
      <rPr>
        <b/>
        <u/>
        <sz val="11"/>
        <color indexed="9"/>
        <rFont val="Calibri"/>
        <family val="2"/>
      </rPr>
      <t>Salary</t>
    </r>
    <r>
      <rPr>
        <b/>
        <sz val="11"/>
        <color indexed="9"/>
        <rFont val="Calibri"/>
        <family val="2"/>
      </rPr>
      <t xml:space="preserve"> Split Total</t>
    </r>
  </si>
  <si>
    <t>Total Compensation</t>
  </si>
  <si>
    <t>TABLE A - Input Parameters</t>
  </si>
  <si>
    <t>SPLIT FUNDED OPTION 
(funding source or multiple depts)</t>
  </si>
  <si>
    <r>
      <t>2.  Fringe Benefit Percentage will populate in Fringe Benefit Amount box</t>
    </r>
    <r>
      <rPr>
        <sz val="10"/>
        <rFont val="Calibri"/>
        <family val="2"/>
      </rPr>
      <t xml:space="preserve"> (Table B)</t>
    </r>
  </si>
  <si>
    <t>1.  Complete yellow boxes into Table A</t>
  </si>
  <si>
    <t>Instructions for Fringe Benefit Calculation:</t>
  </si>
  <si>
    <t>Employer Fringe Benefit Calculation Worksheet</t>
  </si>
  <si>
    <t>Scenario 1</t>
  </si>
  <si>
    <t>Fringe</t>
  </si>
  <si>
    <t>Salary</t>
  </si>
  <si>
    <t>Appt.</t>
  </si>
  <si>
    <t>Retirement Plans</t>
  </si>
  <si>
    <t>Faculty/exempt &lt; Age 35</t>
  </si>
  <si>
    <t>Faculty/exempt Age 35-49</t>
  </si>
  <si>
    <t>Faculty/exempt Age 50+</t>
  </si>
  <si>
    <t>Police</t>
  </si>
  <si>
    <t>PERS 1, 2 &amp; 3 classified</t>
  </si>
  <si>
    <t xml:space="preserve">TRS 1, 2 &amp; 3 </t>
  </si>
  <si>
    <t>y</t>
  </si>
  <si>
    <t>n</t>
  </si>
  <si>
    <t>.</t>
  </si>
  <si>
    <t>Summer?</t>
  </si>
  <si>
    <t>A5</t>
  </si>
  <si>
    <t>A6</t>
  </si>
  <si>
    <t>A7</t>
  </si>
  <si>
    <t>A8</t>
  </si>
  <si>
    <t>A9</t>
  </si>
  <si>
    <t>A10</t>
  </si>
  <si>
    <t>Classifications: Faculty, Exempt, Classified, Grad, Ugrad</t>
  </si>
  <si>
    <t>Age</t>
  </si>
  <si>
    <t>Classification</t>
  </si>
  <si>
    <t>GRA Ins</t>
  </si>
  <si>
    <t>Winter Y or N</t>
  </si>
  <si>
    <t>Spring Y or N</t>
  </si>
  <si>
    <t>Summer Y or N</t>
  </si>
  <si>
    <t>Fall         Y or N</t>
  </si>
  <si>
    <t>Faculty</t>
  </si>
  <si>
    <t>Exempt</t>
  </si>
  <si>
    <t>Classified</t>
  </si>
  <si>
    <t>Graduate</t>
  </si>
  <si>
    <t>Ugrad</t>
  </si>
  <si>
    <t>Grad</t>
  </si>
  <si>
    <t>&lt;35</t>
  </si>
  <si>
    <t>35-49</t>
  </si>
  <si>
    <t>&gt;50</t>
  </si>
  <si>
    <t># Units Credits or Months</t>
  </si>
  <si>
    <t>Undergraduates</t>
  </si>
  <si>
    <t>#</t>
  </si>
  <si>
    <t>Summer</t>
  </si>
  <si>
    <t>Per Quarter</t>
  </si>
  <si>
    <t>Wks</t>
  </si>
  <si>
    <t>Hrs/wk</t>
  </si>
  <si>
    <t>$hr</t>
  </si>
  <si>
    <t>Hlth Ins</t>
  </si>
  <si>
    <t>Fall</t>
  </si>
  <si>
    <t>Winter</t>
  </si>
  <si>
    <t>Spring</t>
  </si>
  <si>
    <t>9mo-AY</t>
  </si>
  <si>
    <t>12 mo pt sum</t>
  </si>
  <si>
    <t>WWU-DHHS rate  of 52.3% of S&amp;W</t>
  </si>
  <si>
    <t>F972</t>
  </si>
  <si>
    <t>EHS</t>
  </si>
  <si>
    <t>Employer HERP State</t>
  </si>
  <si>
    <t>Effective January 1, 2020</t>
  </si>
  <si>
    <t>https://wp.wwu.edu/sbo/tuition-and-fee-schedule/</t>
  </si>
  <si>
    <t>Salary Acad Yr</t>
  </si>
  <si>
    <t>Hourly</t>
  </si>
  <si>
    <t>https://gradschool.wwu.edu/ta-compensation</t>
  </si>
  <si>
    <t>https://www.finaid.wwu.edu/studentjobs/employers/resources/class_guide/cat.php?id=11</t>
  </si>
  <si>
    <t>References for Graduate Table</t>
  </si>
  <si>
    <t>Faculty / Research Assoc. #1</t>
  </si>
  <si>
    <t>Faculty / Research Assoc. #2</t>
  </si>
  <si>
    <t>Graduate Students</t>
  </si>
  <si>
    <t>FICA-Medicare F915</t>
  </si>
  <si>
    <t>FICA - Old F910</t>
  </si>
  <si>
    <t>Health Care F940</t>
  </si>
  <si>
    <t>Industrial Insurance F930</t>
  </si>
  <si>
    <t>Medical Aid F930</t>
  </si>
  <si>
    <t>Retire-ment F920</t>
  </si>
  <si>
    <t>EHS F972</t>
  </si>
  <si>
    <t>St. Unempl F960</t>
  </si>
  <si>
    <t>Total Fringe Benefit Cost</t>
  </si>
  <si>
    <t>Fringe Rate</t>
  </si>
  <si>
    <t>FOR RSP USE ONLY</t>
  </si>
  <si>
    <r>
      <t>Family/Med Leave (</t>
    </r>
    <r>
      <rPr>
        <sz val="10"/>
        <color rgb="FFFF0000"/>
        <rFont val="Arial"/>
        <family val="2"/>
      </rPr>
      <t>Pro Staff only</t>
    </r>
    <r>
      <rPr>
        <sz val="10"/>
        <rFont val="Arial"/>
        <family val="2"/>
      </rPr>
      <t>) F935</t>
    </r>
  </si>
  <si>
    <t>Y</t>
  </si>
  <si>
    <t>Standard</t>
  </si>
  <si>
    <t>AMSEC/Chem</t>
  </si>
  <si>
    <t>Qtrly Resident Graduate Tuition</t>
  </si>
  <si>
    <t>Annual</t>
  </si>
  <si>
    <t>Typical cr load</t>
  </si>
  <si>
    <t>Retirement Contribution Rate</t>
  </si>
  <si>
    <t>12 mo  ft sum</t>
  </si>
  <si>
    <t>Estimated Benefits</t>
  </si>
  <si>
    <t>N</t>
  </si>
  <si>
    <t>Faculty / Research Assoc. #4</t>
  </si>
  <si>
    <t>Course Buyout?</t>
  </si>
  <si>
    <t>Full-time salary</t>
  </si>
  <si>
    <t>Appt. Pctg.</t>
  </si>
  <si>
    <t>Standard Salary/Wage Level? Y/N</t>
  </si>
  <si>
    <t>Post Doc / Staff #1</t>
  </si>
  <si>
    <t>Post Doc / Staff #2</t>
  </si>
  <si>
    <t>Include? (Y/N)</t>
  </si>
  <si>
    <t>Total Salary</t>
  </si>
  <si>
    <t>Faculty / Research Assoc. #3</t>
  </si>
  <si>
    <t>Units mo/cr</t>
  </si>
  <si>
    <t>$ mo / credit</t>
  </si>
  <si>
    <t>Year 1    FY22</t>
  </si>
  <si>
    <t>Year 2 FY23</t>
  </si>
  <si>
    <t>Year 3 FY24</t>
  </si>
  <si>
    <t>Year 4  FY25</t>
  </si>
  <si>
    <t>Year 5 FY26</t>
  </si>
  <si>
    <t>Undergraduate Students ($hr,  #hr)</t>
  </si>
  <si>
    <t>GRA Qtrly Stipend Levels</t>
  </si>
  <si>
    <t>GRA Qtrly Health Insurance</t>
  </si>
  <si>
    <t>As of Spring Quarter GRA Stipends were brought up to the rate for AMSEC/Chem students</t>
  </si>
  <si>
    <t>COLA of 6% for FY22 &amp; FY23, @ 2% after that.</t>
  </si>
  <si>
    <t>Hourly GRA is at a minimum of $18.48 to a maximum of  $22.00</t>
  </si>
  <si>
    <t>Updated May 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</si>
</sst>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%"/>
    <numFmt numFmtId="167" formatCode="_(&quot;$&quot;* #,##0_);_(&quot;$&quot;* \(#,##0\);_(&quot;$&quot;* &quot;-&quot;??_);_(@_)"/>
  </numFmts>
  <fonts count="4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18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4"/>
      <color theme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0"/>
      <color indexed="18"/>
      <name val="Calibri"/>
      <family val="2"/>
      <scheme val="minor"/>
    </font>
    <font>
      <u/>
      <sz val="10"/>
      <color theme="10"/>
      <name val="Times New Roman"/>
      <family val="1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Times New Roman"/>
      <family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name val="Calibri"/>
      <family val="2"/>
    </font>
    <font>
      <sz val="10"/>
      <color theme="6" tint="-0.249977111117893"/>
      <name val="Arial"/>
      <family val="2"/>
    </font>
    <font>
      <b/>
      <u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9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749961851863155"/>
      </bottom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749961851863155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/>
      <bottom style="thin">
        <color indexed="64"/>
      </bottom>
      <diagonal/>
    </border>
    <border>
      <left/>
      <right style="thin">
        <color theme="2" tint="-0.749961851863155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Fill="1"/>
    <xf numFmtId="0" fontId="3" fillId="0" borderId="0" xfId="0" applyFont="1"/>
    <xf numFmtId="0" fontId="5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wrapText="1"/>
    </xf>
    <xf numFmtId="0" fontId="11" fillId="0" borderId="0" xfId="0" applyFont="1"/>
    <xf numFmtId="0" fontId="17" fillId="0" borderId="0" xfId="3" applyFont="1" applyFill="1"/>
    <xf numFmtId="0" fontId="18" fillId="0" borderId="0" xfId="4" applyFill="1" applyAlignment="1" applyProtection="1">
      <protection locked="0"/>
    </xf>
    <xf numFmtId="0" fontId="17" fillId="0" borderId="0" xfId="3" applyFont="1" applyFill="1" applyProtection="1"/>
    <xf numFmtId="0" fontId="19" fillId="0" borderId="0" xfId="3" applyFont="1" applyFill="1" applyProtection="1"/>
    <xf numFmtId="10" fontId="20" fillId="0" borderId="6" xfId="3" applyNumberFormat="1" applyFont="1" applyFill="1" applyBorder="1"/>
    <xf numFmtId="0" fontId="20" fillId="0" borderId="7" xfId="3" applyFont="1" applyFill="1" applyBorder="1"/>
    <xf numFmtId="0" fontId="20" fillId="0" borderId="8" xfId="3" applyFont="1" applyFill="1" applyBorder="1" applyAlignment="1">
      <alignment horizontal="left"/>
    </xf>
    <xf numFmtId="0" fontId="20" fillId="0" borderId="9" xfId="3" applyFont="1" applyFill="1" applyBorder="1" applyAlignment="1">
      <alignment horizontal="left"/>
    </xf>
    <xf numFmtId="10" fontId="20" fillId="0" borderId="10" xfId="3" applyNumberFormat="1" applyFont="1" applyFill="1" applyBorder="1"/>
    <xf numFmtId="0" fontId="20" fillId="0" borderId="0" xfId="3" applyFont="1" applyFill="1" applyBorder="1"/>
    <xf numFmtId="0" fontId="20" fillId="0" borderId="0" xfId="3" applyFont="1" applyFill="1" applyBorder="1" applyAlignment="1">
      <alignment horizontal="left"/>
    </xf>
    <xf numFmtId="0" fontId="20" fillId="0" borderId="11" xfId="3" applyFont="1" applyFill="1" applyBorder="1" applyAlignment="1">
      <alignment horizontal="left"/>
    </xf>
    <xf numFmtId="0" fontId="17" fillId="0" borderId="0" xfId="3" applyFont="1" applyFill="1" applyBorder="1"/>
    <xf numFmtId="166" fontId="20" fillId="0" borderId="12" xfId="5" applyNumberFormat="1" applyFont="1" applyFill="1" applyBorder="1"/>
    <xf numFmtId="44" fontId="20" fillId="8" borderId="0" xfId="6" applyNumberFormat="1" applyFont="1" applyFill="1" applyBorder="1"/>
    <xf numFmtId="167" fontId="20" fillId="0" borderId="12" xfId="5" applyNumberFormat="1" applyFont="1" applyFill="1" applyBorder="1"/>
    <xf numFmtId="44" fontId="20" fillId="8" borderId="10" xfId="6" applyNumberFormat="1" applyFont="1" applyFill="1" applyBorder="1"/>
    <xf numFmtId="167" fontId="20" fillId="0" borderId="10" xfId="5" applyNumberFormat="1" applyFont="1" applyFill="1" applyBorder="1"/>
    <xf numFmtId="44" fontId="20" fillId="0" borderId="10" xfId="6" applyNumberFormat="1" applyFont="1" applyFill="1" applyBorder="1"/>
    <xf numFmtId="10" fontId="20" fillId="0" borderId="10" xfId="3" applyNumberFormat="1" applyFont="1" applyFill="1" applyBorder="1" applyAlignment="1">
      <alignment horizontal="right"/>
    </xf>
    <xf numFmtId="0" fontId="14" fillId="10" borderId="0" xfId="3" applyFont="1" applyFill="1" applyBorder="1" applyAlignment="1">
      <alignment horizontal="center"/>
    </xf>
    <xf numFmtId="0" fontId="14" fillId="10" borderId="0" xfId="3" applyFont="1" applyFill="1" applyBorder="1" applyAlignment="1"/>
    <xf numFmtId="0" fontId="21" fillId="0" borderId="0" xfId="3" applyFont="1" applyFill="1" applyBorder="1" applyAlignment="1"/>
    <xf numFmtId="6" fontId="17" fillId="0" borderId="0" xfId="3" applyNumberFormat="1" applyFont="1" applyFill="1" applyBorder="1" applyAlignment="1">
      <alignment horizontal="right"/>
    </xf>
    <xf numFmtId="10" fontId="14" fillId="10" borderId="13" xfId="3" applyNumberFormat="1" applyFont="1" applyFill="1" applyBorder="1"/>
    <xf numFmtId="0" fontId="14" fillId="10" borderId="14" xfId="3" applyFont="1" applyFill="1" applyBorder="1" applyAlignment="1">
      <alignment horizontal="left"/>
    </xf>
    <xf numFmtId="42" fontId="22" fillId="11" borderId="15" xfId="3" applyNumberFormat="1" applyFont="1" applyFill="1" applyBorder="1" applyAlignment="1"/>
    <xf numFmtId="0" fontId="22" fillId="0" borderId="7" xfId="3" applyFont="1" applyFill="1" applyBorder="1" applyAlignment="1">
      <alignment horizontal="left"/>
    </xf>
    <xf numFmtId="0" fontId="22" fillId="0" borderId="0" xfId="3" applyFont="1" applyFill="1" applyBorder="1" applyAlignment="1">
      <alignment horizontal="center"/>
    </xf>
    <xf numFmtId="0" fontId="22" fillId="0" borderId="16" xfId="3" applyFont="1" applyFill="1" applyBorder="1" applyAlignment="1">
      <alignment horizontal="center"/>
    </xf>
    <xf numFmtId="0" fontId="22" fillId="0" borderId="0" xfId="3" applyFont="1" applyFill="1" applyBorder="1"/>
    <xf numFmtId="0" fontId="22" fillId="0" borderId="0" xfId="3" applyFont="1" applyFill="1" applyBorder="1" applyAlignment="1">
      <alignment horizontal="left"/>
    </xf>
    <xf numFmtId="0" fontId="22" fillId="0" borderId="11" xfId="3" applyFont="1" applyFill="1" applyBorder="1" applyAlignment="1">
      <alignment horizontal="left"/>
    </xf>
    <xf numFmtId="42" fontId="22" fillId="11" borderId="18" xfId="3" applyNumberFormat="1" applyFont="1" applyFill="1" applyBorder="1" applyAlignment="1"/>
    <xf numFmtId="10" fontId="20" fillId="0" borderId="17" xfId="3" applyNumberFormat="1" applyFont="1" applyFill="1" applyBorder="1" applyAlignment="1">
      <alignment horizontal="right" indent="1"/>
    </xf>
    <xf numFmtId="0" fontId="20" fillId="0" borderId="16" xfId="3" applyFont="1" applyFill="1" applyBorder="1" applyAlignment="1">
      <alignment horizontal="left" indent="1"/>
    </xf>
    <xf numFmtId="167" fontId="22" fillId="11" borderId="18" xfId="5" applyNumberFormat="1" applyFont="1" applyFill="1" applyBorder="1" applyAlignment="1"/>
    <xf numFmtId="10" fontId="20" fillId="0" borderId="15" xfId="3" applyNumberFormat="1" applyFont="1" applyFill="1" applyBorder="1" applyAlignment="1">
      <alignment horizontal="right" indent="1"/>
    </xf>
    <xf numFmtId="0" fontId="20" fillId="0" borderId="11" xfId="3" applyFont="1" applyFill="1" applyBorder="1" applyAlignment="1">
      <alignment horizontal="left" indent="1"/>
    </xf>
    <xf numFmtId="167" fontId="22" fillId="11" borderId="15" xfId="5" applyNumberFormat="1" applyFont="1" applyFill="1" applyBorder="1" applyAlignment="1"/>
    <xf numFmtId="0" fontId="23" fillId="10" borderId="19" xfId="3" applyFont="1" applyFill="1" applyBorder="1" applyAlignment="1">
      <alignment horizontal="centerContinuous"/>
    </xf>
    <xf numFmtId="0" fontId="23" fillId="10" borderId="9" xfId="3" applyFont="1" applyFill="1" applyBorder="1" applyAlignment="1">
      <alignment horizontal="left"/>
    </xf>
    <xf numFmtId="0" fontId="21" fillId="10" borderId="15" xfId="3" applyFont="1" applyFill="1" applyBorder="1" applyAlignment="1">
      <alignment horizontal="center"/>
    </xf>
    <xf numFmtId="0" fontId="21" fillId="10" borderId="0" xfId="3" applyFont="1" applyFill="1" applyBorder="1" applyAlignment="1">
      <alignment horizontal="center"/>
    </xf>
    <xf numFmtId="0" fontId="21" fillId="10" borderId="0" xfId="3" applyFont="1" applyFill="1" applyBorder="1" applyAlignment="1">
      <alignment horizontal="center" wrapText="1"/>
    </xf>
    <xf numFmtId="0" fontId="21" fillId="10" borderId="11" xfId="3" applyFont="1" applyFill="1" applyBorder="1" applyAlignment="1">
      <alignment horizontal="center" wrapText="1"/>
    </xf>
    <xf numFmtId="0" fontId="23" fillId="10" borderId="20" xfId="3" applyFont="1" applyFill="1" applyBorder="1" applyAlignment="1">
      <alignment horizontal="centerContinuous"/>
    </xf>
    <xf numFmtId="0" fontId="24" fillId="10" borderId="21" xfId="3" applyFont="1" applyFill="1" applyBorder="1" applyAlignment="1">
      <alignment horizontal="centerContinuous"/>
    </xf>
    <xf numFmtId="10" fontId="25" fillId="11" borderId="22" xfId="7" applyNumberFormat="1" applyFont="1" applyFill="1" applyBorder="1" applyProtection="1"/>
    <xf numFmtId="167" fontId="25" fillId="11" borderId="22" xfId="5" applyNumberFormat="1" applyFont="1" applyFill="1" applyBorder="1" applyProtection="1"/>
    <xf numFmtId="10" fontId="26" fillId="0" borderId="0" xfId="7" applyNumberFormat="1" applyFont="1" applyFill="1" applyBorder="1" applyAlignment="1">
      <alignment horizontal="center"/>
    </xf>
    <xf numFmtId="10" fontId="25" fillId="12" borderId="22" xfId="7" applyNumberFormat="1" applyFont="1" applyFill="1" applyBorder="1" applyProtection="1">
      <protection locked="0"/>
    </xf>
    <xf numFmtId="167" fontId="25" fillId="9" borderId="22" xfId="5" applyNumberFormat="1" applyFont="1" applyFill="1" applyBorder="1" applyProtection="1"/>
    <xf numFmtId="10" fontId="20" fillId="12" borderId="10" xfId="7" applyNumberFormat="1" applyFont="1" applyFill="1" applyBorder="1" applyAlignment="1" applyProtection="1">
      <alignment horizontal="right"/>
      <protection locked="0"/>
    </xf>
    <xf numFmtId="0" fontId="20" fillId="0" borderId="8" xfId="3" applyFont="1" applyFill="1" applyBorder="1"/>
    <xf numFmtId="0" fontId="20" fillId="0" borderId="9" xfId="3" applyFont="1" applyFill="1" applyBorder="1"/>
    <xf numFmtId="42" fontId="20" fillId="12" borderId="10" xfId="3" applyNumberFormat="1" applyFont="1" applyFill="1" applyBorder="1" applyAlignment="1" applyProtection="1">
      <alignment horizontal="right"/>
      <protection locked="0"/>
    </xf>
    <xf numFmtId="0" fontId="20" fillId="0" borderId="11" xfId="3" applyFont="1" applyFill="1" applyBorder="1"/>
    <xf numFmtId="167" fontId="27" fillId="11" borderId="22" xfId="5" applyNumberFormat="1" applyFont="1" applyFill="1" applyBorder="1"/>
    <xf numFmtId="10" fontId="20" fillId="12" borderId="12" xfId="3" applyNumberFormat="1" applyFont="1" applyFill="1" applyBorder="1" applyAlignment="1" applyProtection="1">
      <alignment horizontal="right"/>
      <protection locked="0"/>
    </xf>
    <xf numFmtId="0" fontId="14" fillId="10" borderId="3" xfId="3" applyFont="1" applyFill="1" applyBorder="1" applyAlignment="1" applyProtection="1">
      <alignment horizontal="center" wrapText="1"/>
    </xf>
    <xf numFmtId="0" fontId="14" fillId="10" borderId="3" xfId="3" applyFont="1" applyFill="1" applyBorder="1" applyAlignment="1">
      <alignment horizontal="center"/>
    </xf>
    <xf numFmtId="0" fontId="31" fillId="0" borderId="0" xfId="3" applyFont="1" applyFill="1" applyBorder="1" applyAlignment="1">
      <alignment horizontal="centerContinuous"/>
    </xf>
    <xf numFmtId="0" fontId="17" fillId="0" borderId="0" xfId="3" applyFont="1" applyFill="1" applyBorder="1" applyAlignment="1">
      <alignment horizontal="centerContinuous"/>
    </xf>
    <xf numFmtId="0" fontId="32" fillId="0" borderId="0" xfId="3" applyFont="1" applyFill="1" applyBorder="1" applyAlignment="1">
      <alignment horizontal="centerContinuous"/>
    </xf>
    <xf numFmtId="0" fontId="33" fillId="0" borderId="0" xfId="3" applyFont="1" applyFill="1" applyBorder="1" applyAlignment="1">
      <alignment horizontal="centerContinuous"/>
    </xf>
    <xf numFmtId="0" fontId="33" fillId="0" borderId="0" xfId="3" applyFont="1" applyFill="1" applyBorder="1" applyAlignment="1">
      <alignment horizontal="left"/>
    </xf>
    <xf numFmtId="0" fontId="33" fillId="0" borderId="0" xfId="3" applyFont="1" applyFill="1" applyBorder="1" applyAlignment="1">
      <alignment horizontal="left" indent="1"/>
    </xf>
    <xf numFmtId="0" fontId="33" fillId="0" borderId="0" xfId="3" applyFont="1" applyFill="1" applyBorder="1" applyAlignment="1" applyProtection="1">
      <alignment horizontal="left" indent="1"/>
    </xf>
    <xf numFmtId="0" fontId="32" fillId="0" borderId="0" xfId="3" applyFont="1" applyFill="1" applyBorder="1" applyAlignment="1">
      <alignment horizontal="left"/>
    </xf>
    <xf numFmtId="0" fontId="32" fillId="0" borderId="0" xfId="3" applyFont="1" applyFill="1" applyBorder="1" applyAlignment="1">
      <alignment horizontal="left" indent="1"/>
    </xf>
    <xf numFmtId="0" fontId="1" fillId="0" borderId="0" xfId="0" applyFont="1"/>
    <xf numFmtId="42" fontId="22" fillId="13" borderId="15" xfId="3" applyNumberFormat="1" applyFont="1" applyFill="1" applyBorder="1" applyAlignment="1"/>
    <xf numFmtId="10" fontId="20" fillId="13" borderId="12" xfId="3" applyNumberFormat="1" applyFont="1" applyFill="1" applyBorder="1" applyAlignment="1" applyProtection="1">
      <alignment horizontal="right"/>
      <protection locked="0"/>
    </xf>
    <xf numFmtId="0" fontId="20" fillId="0" borderId="16" xfId="3" applyFont="1" applyFill="1" applyBorder="1" applyAlignment="1">
      <alignment horizontal="left"/>
    </xf>
    <xf numFmtId="0" fontId="20" fillId="13" borderId="11" xfId="3" applyFont="1" applyFill="1" applyBorder="1" applyAlignment="1">
      <alignment horizontal="left"/>
    </xf>
    <xf numFmtId="10" fontId="20" fillId="13" borderId="15" xfId="3" applyNumberFormat="1" applyFont="1" applyFill="1" applyBorder="1" applyAlignment="1">
      <alignment horizontal="right" indent="1"/>
    </xf>
    <xf numFmtId="165" fontId="20" fillId="14" borderId="10" xfId="3" applyNumberFormat="1" applyFont="1" applyFill="1" applyBorder="1" applyAlignment="1" applyProtection="1">
      <alignment horizontal="right"/>
      <protection locked="0"/>
    </xf>
    <xf numFmtId="10" fontId="20" fillId="15" borderId="12" xfId="3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38" fillId="0" borderId="0" xfId="0" applyFont="1"/>
    <xf numFmtId="0" fontId="38" fillId="0" borderId="0" xfId="3" applyFont="1" applyFill="1" applyBorder="1" applyAlignment="1">
      <alignment horizontal="left"/>
    </xf>
    <xf numFmtId="0" fontId="38" fillId="0" borderId="0" xfId="3" applyFont="1" applyFill="1" applyBorder="1"/>
    <xf numFmtId="0" fontId="38" fillId="0" borderId="8" xfId="3" applyFont="1" applyFill="1" applyBorder="1"/>
    <xf numFmtId="0" fontId="2" fillId="0" borderId="0" xfId="0" applyFont="1" applyAlignment="1">
      <alignment horizontal="right" indent="1"/>
    </xf>
    <xf numFmtId="0" fontId="0" fillId="13" borderId="0" xfId="0" applyFill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16" borderId="26" xfId="0" applyFont="1" applyFill="1" applyBorder="1"/>
    <xf numFmtId="0" fontId="5" fillId="16" borderId="13" xfId="0" applyFont="1" applyFill="1" applyBorder="1"/>
    <xf numFmtId="0" fontId="5" fillId="16" borderId="23" xfId="0" applyFont="1" applyFill="1" applyBorder="1"/>
    <xf numFmtId="0" fontId="2" fillId="16" borderId="18" xfId="0" applyFont="1" applyFill="1" applyBorder="1"/>
    <xf numFmtId="0" fontId="2" fillId="16" borderId="23" xfId="0" applyFont="1" applyFill="1" applyBorder="1"/>
    <xf numFmtId="0" fontId="0" fillId="16" borderId="23" xfId="0" applyFill="1" applyBorder="1"/>
    <xf numFmtId="0" fontId="3" fillId="16" borderId="24" xfId="0" applyFont="1" applyFill="1" applyBorder="1"/>
    <xf numFmtId="0" fontId="2" fillId="16" borderId="25" xfId="0" applyFont="1" applyFill="1" applyBorder="1"/>
    <xf numFmtId="0" fontId="2" fillId="18" borderId="26" xfId="0" applyFont="1" applyFill="1" applyBorder="1"/>
    <xf numFmtId="0" fontId="5" fillId="18" borderId="13" xfId="0" applyFont="1" applyFill="1" applyBorder="1"/>
    <xf numFmtId="0" fontId="2" fillId="18" borderId="23" xfId="0" applyFont="1" applyFill="1" applyBorder="1" applyAlignment="1">
      <alignment horizontal="right"/>
    </xf>
    <xf numFmtId="0" fontId="5" fillId="18" borderId="18" xfId="0" applyFont="1" applyFill="1" applyBorder="1" applyAlignment="1">
      <alignment horizontal="center"/>
    </xf>
    <xf numFmtId="0" fontId="2" fillId="18" borderId="24" xfId="0" applyFont="1" applyFill="1" applyBorder="1" applyAlignment="1">
      <alignment horizontal="right"/>
    </xf>
    <xf numFmtId="0" fontId="5" fillId="18" borderId="25" xfId="0" applyFont="1" applyFill="1" applyBorder="1" applyAlignment="1">
      <alignment horizontal="center"/>
    </xf>
    <xf numFmtId="0" fontId="0" fillId="17" borderId="0" xfId="0" applyFill="1"/>
    <xf numFmtId="0" fontId="2" fillId="17" borderId="0" xfId="0" applyFont="1" applyFill="1"/>
    <xf numFmtId="42" fontId="22" fillId="17" borderId="15" xfId="3" applyNumberFormat="1" applyFont="1" applyFill="1" applyBorder="1" applyAlignment="1"/>
    <xf numFmtId="0" fontId="2" fillId="0" borderId="1" xfId="0" applyFont="1" applyBorder="1" applyAlignment="1">
      <alignment horizontal="right" indent="1"/>
    </xf>
    <xf numFmtId="0" fontId="2" fillId="16" borderId="1" xfId="0" applyFont="1" applyFill="1" applyBorder="1"/>
    <xf numFmtId="0" fontId="2" fillId="18" borderId="1" xfId="0" applyFont="1" applyFill="1" applyBorder="1"/>
    <xf numFmtId="0" fontId="2" fillId="0" borderId="1" xfId="0" applyFont="1" applyFill="1" applyBorder="1"/>
    <xf numFmtId="164" fontId="0" fillId="2" borderId="1" xfId="0" applyNumberFormat="1" applyFill="1" applyBorder="1" applyProtection="1">
      <protection locked="0"/>
    </xf>
    <xf numFmtId="4" fontId="0" fillId="14" borderId="1" xfId="0" applyNumberFormat="1" applyFill="1" applyBorder="1" applyProtection="1">
      <protection locked="0"/>
    </xf>
    <xf numFmtId="3" fontId="0" fillId="14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3" fontId="1" fillId="0" borderId="1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2" fillId="7" borderId="1" xfId="2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10" fontId="9" fillId="6" borderId="1" xfId="0" applyNumberFormat="1" applyFont="1" applyFill="1" applyBorder="1" applyAlignment="1" applyProtection="1">
      <alignment wrapText="1"/>
      <protection locked="0"/>
    </xf>
    <xf numFmtId="0" fontId="20" fillId="0" borderId="0" xfId="3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2" xfId="0" applyFont="1" applyFill="1" applyBorder="1" applyProtection="1">
      <protection locked="0"/>
    </xf>
    <xf numFmtId="165" fontId="1" fillId="3" borderId="2" xfId="0" applyNumberFormat="1" applyFont="1" applyFill="1" applyBorder="1" applyProtection="1">
      <protection locked="0"/>
    </xf>
    <xf numFmtId="164" fontId="13" fillId="3" borderId="2" xfId="0" applyNumberFormat="1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2" fillId="0" borderId="0" xfId="0" applyFont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164" fontId="1" fillId="0" borderId="2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164" fontId="5" fillId="0" borderId="0" xfId="0" applyNumberFormat="1" applyFont="1" applyProtection="1"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left" indent="1"/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NumberFormat="1" applyFont="1" applyFill="1" applyBorder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2" fillId="9" borderId="3" xfId="0" applyFont="1" applyFill="1" applyBorder="1" applyAlignment="1" applyProtection="1">
      <alignment horizontal="left" indent="1"/>
      <protection locked="0"/>
    </xf>
    <xf numFmtId="0" fontId="0" fillId="5" borderId="3" xfId="0" applyNumberFormat="1" applyFill="1" applyBorder="1" applyProtection="1">
      <protection locked="0"/>
    </xf>
    <xf numFmtId="0" fontId="0" fillId="9" borderId="3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left" inden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NumberFormat="1" applyFont="1" applyFill="1" applyBorder="1" applyProtection="1">
      <protection locked="0"/>
    </xf>
    <xf numFmtId="164" fontId="3" fillId="0" borderId="0" xfId="0" applyNumberFormat="1" applyFont="1" applyProtection="1">
      <protection locked="0"/>
    </xf>
    <xf numFmtId="0" fontId="1" fillId="3" borderId="5" xfId="0" applyFont="1" applyFill="1" applyBorder="1" applyProtection="1">
      <protection locked="0"/>
    </xf>
    <xf numFmtId="10" fontId="1" fillId="3" borderId="5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 horizontal="right"/>
      <protection locked="0"/>
    </xf>
    <xf numFmtId="164" fontId="0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44" fontId="0" fillId="0" borderId="0" xfId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0" fillId="0" borderId="0" xfId="0" applyNumberFormat="1" applyFill="1" applyProtection="1">
      <protection locked="0"/>
    </xf>
    <xf numFmtId="10" fontId="20" fillId="0" borderId="27" xfId="3" applyNumberFormat="1" applyFont="1" applyFill="1" applyBorder="1"/>
    <xf numFmtId="0" fontId="40" fillId="7" borderId="1" xfId="2" applyFont="1" applyFill="1" applyBorder="1" applyAlignment="1" applyProtection="1">
      <alignment horizontal="center" vertical="center" wrapText="1"/>
      <protection locked="0"/>
    </xf>
    <xf numFmtId="14" fontId="2" fillId="19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Protection="1">
      <protection locked="0"/>
    </xf>
    <xf numFmtId="0" fontId="1" fillId="20" borderId="0" xfId="0" applyFont="1" applyFill="1" applyProtection="1">
      <protection locked="0"/>
    </xf>
    <xf numFmtId="0" fontId="2" fillId="20" borderId="0" xfId="0" applyFont="1" applyFill="1" applyProtection="1">
      <protection locked="0"/>
    </xf>
    <xf numFmtId="10" fontId="2" fillId="20" borderId="1" xfId="3" applyNumberFormat="1" applyFont="1" applyFill="1" applyBorder="1" applyAlignment="1" applyProtection="1">
      <alignment horizontal="right"/>
      <protection locked="0"/>
    </xf>
    <xf numFmtId="164" fontId="2" fillId="20" borderId="1" xfId="0" applyNumberFormat="1" applyFont="1" applyFill="1" applyBorder="1" applyProtection="1">
      <protection locked="0"/>
    </xf>
    <xf numFmtId="0" fontId="2" fillId="20" borderId="1" xfId="0" applyFont="1" applyFill="1" applyBorder="1" applyProtection="1">
      <protection locked="0"/>
    </xf>
    <xf numFmtId="0" fontId="2" fillId="20" borderId="1" xfId="3" applyFont="1" applyFill="1" applyBorder="1" applyAlignment="1" applyProtection="1">
      <alignment horizontal="center" wrapText="1"/>
    </xf>
    <xf numFmtId="0" fontId="1" fillId="20" borderId="1" xfId="3" applyFont="1" applyFill="1" applyBorder="1" applyAlignment="1" applyProtection="1">
      <alignment horizontal="center" wrapText="1"/>
      <protection locked="0"/>
    </xf>
    <xf numFmtId="42" fontId="2" fillId="20" borderId="1" xfId="3" applyNumberFormat="1" applyFont="1" applyFill="1" applyBorder="1" applyAlignment="1" applyProtection="1"/>
    <xf numFmtId="167" fontId="2" fillId="20" borderId="1" xfId="5" applyNumberFormat="1" applyFont="1" applyFill="1" applyBorder="1" applyAlignment="1" applyProtection="1"/>
    <xf numFmtId="10" fontId="1" fillId="20" borderId="1" xfId="3" applyNumberFormat="1" applyFont="1" applyFill="1" applyBorder="1" applyProtection="1">
      <protection locked="0"/>
    </xf>
    <xf numFmtId="42" fontId="2" fillId="20" borderId="22" xfId="3" applyNumberFormat="1" applyFont="1" applyFill="1" applyBorder="1" applyAlignment="1" applyProtection="1"/>
    <xf numFmtId="164" fontId="2" fillId="20" borderId="1" xfId="3" applyNumberFormat="1" applyFont="1" applyFill="1" applyBorder="1" applyAlignment="1" applyProtection="1"/>
    <xf numFmtId="0" fontId="1" fillId="20" borderId="22" xfId="0" applyFont="1" applyFill="1" applyBorder="1" applyAlignment="1" applyProtection="1">
      <alignment horizontal="center"/>
      <protection locked="0"/>
    </xf>
    <xf numFmtId="165" fontId="1" fillId="14" borderId="13" xfId="3" applyNumberFormat="1" applyFont="1" applyFill="1" applyBorder="1" applyAlignment="1" applyProtection="1">
      <alignment horizontal="right"/>
      <protection locked="0"/>
    </xf>
    <xf numFmtId="0" fontId="44" fillId="21" borderId="0" xfId="0" applyFont="1" applyFill="1" applyBorder="1" applyAlignment="1" applyProtection="1">
      <alignment horizontal="left"/>
      <protection locked="0"/>
    </xf>
    <xf numFmtId="0" fontId="20" fillId="21" borderId="0" xfId="3" applyFont="1" applyFill="1" applyBorder="1" applyProtection="1">
      <protection locked="0"/>
    </xf>
    <xf numFmtId="0" fontId="0" fillId="21" borderId="0" xfId="0" applyFill="1" applyAlignment="1" applyProtection="1">
      <alignment wrapText="1"/>
      <protection locked="0"/>
    </xf>
    <xf numFmtId="0" fontId="10" fillId="20" borderId="0" xfId="2" applyFont="1" applyFill="1" applyProtection="1">
      <protection locked="0"/>
    </xf>
    <xf numFmtId="0" fontId="1" fillId="20" borderId="1" xfId="0" applyFont="1" applyFill="1" applyBorder="1" applyProtection="1">
      <protection locked="0"/>
    </xf>
    <xf numFmtId="1" fontId="1" fillId="14" borderId="1" xfId="0" applyNumberFormat="1" applyFont="1" applyFill="1" applyBorder="1" applyAlignment="1" applyProtection="1">
      <alignment horizontal="center"/>
      <protection locked="0"/>
    </xf>
    <xf numFmtId="1" fontId="1" fillId="14" borderId="22" xfId="0" applyNumberFormat="1" applyFont="1" applyFill="1" applyBorder="1" applyAlignment="1" applyProtection="1">
      <alignment horizontal="center"/>
      <protection locked="0"/>
    </xf>
    <xf numFmtId="164" fontId="2" fillId="20" borderId="22" xfId="0" applyNumberFormat="1" applyFont="1" applyFill="1" applyBorder="1" applyProtection="1">
      <protection locked="0"/>
    </xf>
    <xf numFmtId="1" fontId="1" fillId="14" borderId="5" xfId="0" applyNumberFormat="1" applyFont="1" applyFill="1" applyBorder="1" applyAlignment="1" applyProtection="1">
      <alignment horizontal="center"/>
      <protection locked="0"/>
    </xf>
    <xf numFmtId="164" fontId="2" fillId="20" borderId="5" xfId="0" applyNumberFormat="1" applyFont="1" applyFill="1" applyBorder="1" applyProtection="1">
      <protection locked="0"/>
    </xf>
    <xf numFmtId="167" fontId="2" fillId="20" borderId="1" xfId="1" applyNumberFormat="1" applyFont="1" applyFill="1" applyBorder="1" applyProtection="1">
      <protection locked="0"/>
    </xf>
    <xf numFmtId="10" fontId="1" fillId="14" borderId="1" xfId="3" applyNumberFormat="1" applyFont="1" applyFill="1" applyBorder="1" applyAlignment="1" applyProtection="1">
      <alignment horizontal="center"/>
      <protection locked="0"/>
    </xf>
    <xf numFmtId="165" fontId="0" fillId="14" borderId="1" xfId="0" applyNumberFormat="1" applyFill="1" applyBorder="1" applyProtection="1">
      <protection locked="0"/>
    </xf>
    <xf numFmtId="0" fontId="1" fillId="20" borderId="1" xfId="3" applyFont="1" applyFill="1" applyBorder="1" applyAlignment="1" applyProtection="1">
      <alignment horizontal="center" vertical="center" wrapText="1"/>
      <protection locked="0"/>
    </xf>
    <xf numFmtId="0" fontId="1" fillId="22" borderId="1" xfId="3" applyFont="1" applyFill="1" applyBorder="1" applyAlignment="1" applyProtection="1">
      <alignment horizontal="center" vertical="center" wrapText="1"/>
      <protection locked="0"/>
    </xf>
    <xf numFmtId="10" fontId="1" fillId="22" borderId="1" xfId="3" applyNumberFormat="1" applyFont="1" applyFill="1" applyBorder="1" applyAlignment="1" applyProtection="1">
      <alignment horizontal="right"/>
      <protection locked="0"/>
    </xf>
    <xf numFmtId="10" fontId="1" fillId="22" borderId="1" xfId="7" applyNumberFormat="1" applyFont="1" applyFill="1" applyBorder="1" applyAlignment="1" applyProtection="1">
      <alignment horizontal="right"/>
      <protection locked="0"/>
    </xf>
    <xf numFmtId="10" fontId="1" fillId="22" borderId="28" xfId="7" applyNumberFormat="1" applyFont="1" applyFill="1" applyBorder="1" applyAlignment="1" applyProtection="1">
      <alignment horizontal="right"/>
      <protection locked="0"/>
    </xf>
    <xf numFmtId="1" fontId="1" fillId="22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Alignment="1" applyProtection="1">
      <alignment horizontal="left" indent="1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46" fillId="0" borderId="1" xfId="0" applyFont="1" applyFill="1" applyBorder="1" applyAlignment="1" applyProtection="1">
      <alignment horizontal="left" indent="1"/>
      <protection locked="0"/>
    </xf>
    <xf numFmtId="0" fontId="47" fillId="2" borderId="1" xfId="0" applyFont="1" applyFill="1" applyBorder="1" applyAlignment="1" applyProtection="1">
      <alignment horizontal="left" indent="1"/>
      <protection locked="0"/>
    </xf>
    <xf numFmtId="0" fontId="47" fillId="2" borderId="3" xfId="0" applyFont="1" applyFill="1" applyBorder="1" applyAlignment="1" applyProtection="1">
      <alignment horizontal="left" indent="1"/>
      <protection locked="0"/>
    </xf>
    <xf numFmtId="0" fontId="47" fillId="0" borderId="1" xfId="0" applyFont="1" applyFill="1" applyBorder="1" applyAlignment="1" applyProtection="1">
      <alignment horizontal="left" indent="1"/>
      <protection locked="0"/>
    </xf>
    <xf numFmtId="165" fontId="1" fillId="2" borderId="1" xfId="0" applyNumberFormat="1" applyFont="1" applyFill="1" applyBorder="1" applyAlignment="1" applyProtection="1">
      <alignment horizontal="left" indent="1"/>
      <protection locked="0"/>
    </xf>
    <xf numFmtId="165" fontId="46" fillId="2" borderId="1" xfId="0" applyNumberFormat="1" applyFont="1" applyFill="1" applyBorder="1" applyAlignment="1" applyProtection="1">
      <alignment horizontal="left" indent="1"/>
      <protection locked="0"/>
    </xf>
    <xf numFmtId="164" fontId="0" fillId="20" borderId="1" xfId="0" applyNumberFormat="1" applyFill="1" applyBorder="1" applyProtection="1">
      <protection locked="0"/>
    </xf>
    <xf numFmtId="164" fontId="0" fillId="20" borderId="3" xfId="0" applyNumberFormat="1" applyFill="1" applyBorder="1" applyProtection="1">
      <protection locked="0"/>
    </xf>
    <xf numFmtId="164" fontId="1" fillId="20" borderId="1" xfId="0" applyNumberFormat="1" applyFont="1" applyFill="1" applyBorder="1" applyProtection="1">
      <protection locked="0"/>
    </xf>
    <xf numFmtId="164" fontId="1" fillId="20" borderId="5" xfId="0" applyNumberFormat="1" applyFont="1" applyFill="1" applyBorder="1" applyProtection="1">
      <protection locked="0"/>
    </xf>
    <xf numFmtId="164" fontId="1" fillId="20" borderId="4" xfId="0" applyNumberFormat="1" applyFont="1" applyFill="1" applyBorder="1" applyProtection="1">
      <protection locked="0"/>
    </xf>
    <xf numFmtId="0" fontId="1" fillId="20" borderId="1" xfId="0" applyNumberFormat="1" applyFont="1" applyFill="1" applyBorder="1" applyProtection="1">
      <protection locked="0"/>
    </xf>
    <xf numFmtId="10" fontId="1" fillId="20" borderId="5" xfId="0" applyNumberFormat="1" applyFont="1" applyFill="1" applyBorder="1" applyProtection="1">
      <protection locked="0"/>
    </xf>
    <xf numFmtId="0" fontId="1" fillId="20" borderId="4" xfId="0" applyNumberFormat="1" applyFont="1" applyFill="1" applyBorder="1" applyProtection="1">
      <protection locked="0"/>
    </xf>
    <xf numFmtId="0" fontId="0" fillId="20" borderId="3" xfId="0" applyNumberFormat="1" applyFill="1" applyBorder="1" applyProtection="1">
      <protection locked="0"/>
    </xf>
    <xf numFmtId="0" fontId="0" fillId="20" borderId="1" xfId="0" applyNumberFormat="1" applyFill="1" applyBorder="1" applyProtection="1">
      <protection locked="0"/>
    </xf>
    <xf numFmtId="164" fontId="1" fillId="20" borderId="2" xfId="0" applyNumberFormat="1" applyFont="1" applyFill="1" applyBorder="1" applyProtection="1">
      <protection locked="0"/>
    </xf>
    <xf numFmtId="0" fontId="1" fillId="20" borderId="2" xfId="0" applyFont="1" applyFill="1" applyBorder="1" applyProtection="1">
      <protection locked="0"/>
    </xf>
    <xf numFmtId="0" fontId="1" fillId="20" borderId="2" xfId="0" applyNumberFormat="1" applyFont="1" applyFill="1" applyBorder="1" applyProtection="1">
      <protection locked="0"/>
    </xf>
    <xf numFmtId="0" fontId="0" fillId="14" borderId="1" xfId="0" applyNumberFormat="1" applyFill="1" applyBorder="1" applyProtection="1">
      <protection locked="0"/>
    </xf>
    <xf numFmtId="0" fontId="0" fillId="14" borderId="3" xfId="0" applyNumberFormat="1" applyFill="1" applyBorder="1" applyProtection="1">
      <protection locked="0"/>
    </xf>
    <xf numFmtId="164" fontId="0" fillId="14" borderId="1" xfId="0" applyNumberFormat="1" applyFill="1" applyBorder="1" applyProtection="1">
      <protection locked="0"/>
    </xf>
    <xf numFmtId="164" fontId="0" fillId="14" borderId="3" xfId="0" applyNumberFormat="1" applyFill="1" applyBorder="1" applyProtection="1">
      <protection locked="0"/>
    </xf>
    <xf numFmtId="165" fontId="0" fillId="20" borderId="1" xfId="0" applyNumberFormat="1" applyFill="1" applyBorder="1" applyProtection="1"/>
    <xf numFmtId="165" fontId="0" fillId="20" borderId="3" xfId="0" applyNumberFormat="1" applyFill="1" applyBorder="1" applyProtection="1"/>
    <xf numFmtId="165" fontId="1" fillId="20" borderId="2" xfId="0" applyNumberFormat="1" applyFont="1" applyFill="1" applyBorder="1" applyProtection="1"/>
    <xf numFmtId="0" fontId="0" fillId="0" borderId="1" xfId="0" applyNumberFormat="1" applyBorder="1" applyProtection="1"/>
    <xf numFmtId="0" fontId="1" fillId="0" borderId="1" xfId="0" applyNumberFormat="1" applyFont="1" applyFill="1" applyBorder="1" applyAlignment="1" applyProtection="1">
      <alignment horizontal="center"/>
    </xf>
    <xf numFmtId="9" fontId="2" fillId="20" borderId="1" xfId="0" applyNumberFormat="1" applyFont="1" applyFill="1" applyBorder="1" applyAlignment="1" applyProtection="1">
      <alignment horizontal="center"/>
    </xf>
    <xf numFmtId="0" fontId="0" fillId="20" borderId="3" xfId="0" applyNumberFormat="1" applyFill="1" applyBorder="1" applyProtection="1"/>
    <xf numFmtId="0" fontId="1" fillId="20" borderId="2" xfId="0" applyNumberFormat="1" applyFont="1" applyFill="1" applyBorder="1" applyProtection="1"/>
    <xf numFmtId="0" fontId="1" fillId="0" borderId="1" xfId="0" applyNumberFormat="1" applyFont="1" applyBorder="1" applyProtection="1"/>
    <xf numFmtId="0" fontId="2" fillId="20" borderId="1" xfId="0" applyNumberFormat="1" applyFont="1" applyFill="1" applyBorder="1" applyProtection="1"/>
    <xf numFmtId="0" fontId="2" fillId="20" borderId="3" xfId="0" applyNumberFormat="1" applyFont="1" applyFill="1" applyBorder="1" applyProtection="1"/>
    <xf numFmtId="0" fontId="1" fillId="20" borderId="2" xfId="0" applyFont="1" applyFill="1" applyBorder="1" applyProtection="1"/>
    <xf numFmtId="0" fontId="0" fillId="20" borderId="1" xfId="0" applyNumberFormat="1" applyFill="1" applyBorder="1" applyProtection="1"/>
    <xf numFmtId="0" fontId="0" fillId="0" borderId="1" xfId="0" applyNumberFormat="1" applyFill="1" applyBorder="1" applyProtection="1"/>
    <xf numFmtId="164" fontId="0" fillId="20" borderId="1" xfId="0" applyNumberFormat="1" applyFill="1" applyBorder="1" applyProtection="1"/>
    <xf numFmtId="0" fontId="1" fillId="0" borderId="2" xfId="0" applyNumberFormat="1" applyFont="1" applyBorder="1" applyProtection="1"/>
    <xf numFmtId="0" fontId="1" fillId="20" borderId="1" xfId="0" applyNumberFormat="1" applyFont="1" applyFill="1" applyBorder="1" applyProtection="1"/>
    <xf numFmtId="10" fontId="1" fillId="20" borderId="5" xfId="0" applyNumberFormat="1" applyFont="1" applyFill="1" applyBorder="1" applyProtection="1"/>
    <xf numFmtId="0" fontId="1" fillId="20" borderId="4" xfId="0" applyNumberFormat="1" applyFont="1" applyFill="1" applyBorder="1" applyProtection="1"/>
    <xf numFmtId="164" fontId="0" fillId="2" borderId="1" xfId="0" applyNumberFormat="1" applyFill="1" applyBorder="1" applyProtection="1"/>
    <xf numFmtId="164" fontId="13" fillId="3" borderId="2" xfId="0" applyNumberFormat="1" applyFont="1" applyFill="1" applyBorder="1" applyProtection="1"/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164" fontId="6" fillId="0" borderId="1" xfId="0" applyNumberFormat="1" applyFont="1" applyBorder="1" applyAlignment="1" applyProtection="1">
      <alignment horizontal="right"/>
    </xf>
    <xf numFmtId="164" fontId="0" fillId="2" borderId="3" xfId="0" applyNumberFormat="1" applyFill="1" applyBorder="1" applyProtection="1"/>
    <xf numFmtId="164" fontId="1" fillId="0" borderId="2" xfId="0" applyNumberFormat="1" applyFont="1" applyFill="1" applyBorder="1" applyProtection="1"/>
    <xf numFmtId="164" fontId="2" fillId="2" borderId="1" xfId="0" applyNumberFormat="1" applyFont="1" applyFill="1" applyBorder="1" applyProtection="1"/>
    <xf numFmtId="164" fontId="2" fillId="2" borderId="3" xfId="0" applyNumberFormat="1" applyFont="1" applyFill="1" applyBorder="1" applyProtection="1"/>
    <xf numFmtId="164" fontId="0" fillId="0" borderId="1" xfId="0" applyNumberFormat="1" applyFill="1" applyBorder="1" applyProtection="1"/>
    <xf numFmtId="0" fontId="0" fillId="9" borderId="3" xfId="0" applyNumberFormat="1" applyFill="1" applyBorder="1" applyProtection="1"/>
    <xf numFmtId="164" fontId="1" fillId="4" borderId="1" xfId="0" applyNumberFormat="1" applyFont="1" applyFill="1" applyBorder="1" applyProtection="1"/>
    <xf numFmtId="164" fontId="1" fillId="3" borderId="5" xfId="0" applyNumberFormat="1" applyFont="1" applyFill="1" applyBorder="1" applyProtection="1"/>
    <xf numFmtId="164" fontId="1" fillId="0" borderId="4" xfId="0" applyNumberFormat="1" applyFont="1" applyBorder="1" applyProtection="1"/>
    <xf numFmtId="165" fontId="2" fillId="20" borderId="1" xfId="0" applyNumberFormat="1" applyFont="1" applyFill="1" applyBorder="1" applyProtection="1"/>
    <xf numFmtId="165" fontId="1" fillId="20" borderId="13" xfId="3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2" fillId="20" borderId="1" xfId="3" applyFont="1" applyFill="1" applyBorder="1" applyAlignment="1" applyProtection="1">
      <alignment horizontal="centerContinuous"/>
    </xf>
    <xf numFmtId="0" fontId="2" fillId="20" borderId="1" xfId="3" applyFont="1" applyFill="1" applyBorder="1" applyAlignment="1" applyProtection="1">
      <alignment horizontal="left"/>
    </xf>
    <xf numFmtId="10" fontId="2" fillId="20" borderId="1" xfId="3" applyNumberFormat="1" applyFont="1" applyFill="1" applyBorder="1" applyAlignment="1" applyProtection="1">
      <alignment horizontal="right" indent="1"/>
    </xf>
    <xf numFmtId="0" fontId="2" fillId="20" borderId="1" xfId="0" applyFont="1" applyFill="1" applyBorder="1" applyAlignment="1" applyProtection="1">
      <alignment horizontal="center"/>
    </xf>
    <xf numFmtId="0" fontId="2" fillId="20" borderId="1" xfId="0" applyFont="1" applyFill="1" applyBorder="1" applyProtection="1"/>
    <xf numFmtId="0" fontId="2" fillId="20" borderId="5" xfId="0" applyFont="1" applyFill="1" applyBorder="1" applyProtection="1"/>
    <xf numFmtId="0" fontId="2" fillId="20" borderId="22" xfId="0" applyFont="1" applyFill="1" applyBorder="1" applyProtection="1"/>
    <xf numFmtId="0" fontId="1" fillId="20" borderId="1" xfId="0" applyFont="1" applyFill="1" applyBorder="1" applyProtection="1"/>
    <xf numFmtId="0" fontId="1" fillId="0" borderId="1" xfId="0" applyFont="1" applyBorder="1" applyAlignment="1" applyProtection="1">
      <alignment wrapText="1"/>
    </xf>
    <xf numFmtId="0" fontId="9" fillId="6" borderId="1" xfId="0" applyFont="1" applyFill="1" applyBorder="1" applyAlignment="1" applyProtection="1">
      <alignment wrapText="1"/>
    </xf>
    <xf numFmtId="0" fontId="0" fillId="0" borderId="0" xfId="0" applyProtection="1"/>
    <xf numFmtId="1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2" fillId="14" borderId="1" xfId="0" applyFont="1" applyFill="1" applyBorder="1" applyProtection="1">
      <protection locked="0"/>
    </xf>
    <xf numFmtId="0" fontId="2" fillId="14" borderId="1" xfId="0" applyNumberFormat="1" applyFont="1" applyFill="1" applyBorder="1" applyProtection="1">
      <protection locked="0"/>
    </xf>
    <xf numFmtId="0" fontId="2" fillId="14" borderId="3" xfId="0" applyFont="1" applyFill="1" applyBorder="1" applyProtection="1">
      <protection locked="0"/>
    </xf>
    <xf numFmtId="0" fontId="2" fillId="14" borderId="3" xfId="0" applyNumberFormat="1" applyFont="1" applyFill="1" applyBorder="1" applyProtection="1">
      <protection locked="0"/>
    </xf>
    <xf numFmtId="164" fontId="2" fillId="14" borderId="1" xfId="0" applyNumberFormat="1" applyFont="1" applyFill="1" applyBorder="1" applyProtection="1">
      <protection locked="0"/>
    </xf>
    <xf numFmtId="164" fontId="2" fillId="14" borderId="3" xfId="0" applyNumberFormat="1" applyFont="1" applyFill="1" applyBorder="1" applyProtection="1">
      <protection locked="0"/>
    </xf>
    <xf numFmtId="9" fontId="6" fillId="20" borderId="1" xfId="0" applyNumberFormat="1" applyFont="1" applyFill="1" applyBorder="1" applyAlignment="1" applyProtection="1">
      <alignment horizontal="center"/>
    </xf>
    <xf numFmtId="164" fontId="6" fillId="20" borderId="1" xfId="0" applyNumberFormat="1" applyFont="1" applyFill="1" applyBorder="1" applyAlignment="1" applyProtection="1">
      <alignment horizontal="right"/>
    </xf>
    <xf numFmtId="9" fontId="7" fillId="20" borderId="1" xfId="0" applyNumberFormat="1" applyFont="1" applyFill="1" applyBorder="1" applyAlignment="1" applyProtection="1">
      <alignment horizontal="center"/>
    </xf>
    <xf numFmtId="9" fontId="8" fillId="20" borderId="1" xfId="0" applyNumberFormat="1" applyFont="1" applyFill="1" applyBorder="1" applyAlignment="1" applyProtection="1">
      <alignment horizontal="center"/>
    </xf>
    <xf numFmtId="0" fontId="0" fillId="2" borderId="3" xfId="0" applyNumberFormat="1" applyFill="1" applyBorder="1" applyProtection="1"/>
    <xf numFmtId="164" fontId="0" fillId="20" borderId="3" xfId="0" applyNumberFormat="1" applyFill="1" applyBorder="1" applyProtection="1"/>
    <xf numFmtId="164" fontId="1" fillId="20" borderId="2" xfId="0" applyNumberFormat="1" applyFont="1" applyFill="1" applyBorder="1" applyProtection="1"/>
    <xf numFmtId="4" fontId="1" fillId="14" borderId="5" xfId="0" applyNumberFormat="1" applyFont="1" applyFill="1" applyBorder="1" applyAlignment="1" applyProtection="1">
      <alignment horizontal="center"/>
      <protection locked="0"/>
    </xf>
    <xf numFmtId="4" fontId="1" fillId="20" borderId="22" xfId="0" applyNumberFormat="1" applyFont="1" applyFill="1" applyBorder="1" applyAlignment="1" applyProtection="1">
      <alignment horizontal="center"/>
      <protection locked="0"/>
    </xf>
    <xf numFmtId="4" fontId="1" fillId="14" borderId="1" xfId="0" applyNumberFormat="1" applyFont="1" applyFill="1" applyBorder="1" applyAlignment="1" applyProtection="1">
      <alignment horizontal="center"/>
      <protection locked="0"/>
    </xf>
    <xf numFmtId="0" fontId="2" fillId="20" borderId="3" xfId="0" applyFont="1" applyFill="1" applyBorder="1" applyProtection="1">
      <protection locked="0"/>
    </xf>
    <xf numFmtId="167" fontId="2" fillId="20" borderId="3" xfId="1" applyNumberFormat="1" applyFont="1" applyFill="1" applyBorder="1" applyProtection="1">
      <protection locked="0"/>
    </xf>
    <xf numFmtId="0" fontId="2" fillId="23" borderId="29" xfId="0" applyFont="1" applyFill="1" applyBorder="1" applyProtection="1">
      <protection locked="0"/>
    </xf>
    <xf numFmtId="0" fontId="1" fillId="23" borderId="30" xfId="0" applyFont="1" applyFill="1" applyBorder="1" applyProtection="1">
      <protection locked="0"/>
    </xf>
    <xf numFmtId="0" fontId="2" fillId="23" borderId="30" xfId="0" applyFont="1" applyFill="1" applyBorder="1" applyProtection="1">
      <protection locked="0"/>
    </xf>
    <xf numFmtId="0" fontId="2" fillId="23" borderId="31" xfId="0" applyFont="1" applyFill="1" applyBorder="1" applyProtection="1">
      <protection locked="0"/>
    </xf>
    <xf numFmtId="0" fontId="2" fillId="23" borderId="0" xfId="0" applyFont="1" applyFill="1" applyBorder="1" applyProtection="1">
      <protection locked="0"/>
    </xf>
    <xf numFmtId="0" fontId="2" fillId="23" borderId="18" xfId="0" applyFont="1" applyFill="1" applyBorder="1" applyProtection="1">
      <protection locked="0"/>
    </xf>
    <xf numFmtId="0" fontId="0" fillId="23" borderId="24" xfId="0" applyFill="1" applyBorder="1" applyProtection="1">
      <protection locked="0"/>
    </xf>
    <xf numFmtId="0" fontId="2" fillId="23" borderId="7" xfId="0" applyFont="1" applyFill="1" applyBorder="1" applyProtection="1">
      <protection locked="0"/>
    </xf>
    <xf numFmtId="0" fontId="0" fillId="23" borderId="7" xfId="0" applyFill="1" applyBorder="1" applyProtection="1">
      <protection locked="0"/>
    </xf>
    <xf numFmtId="0" fontId="2" fillId="23" borderId="25" xfId="0" applyFont="1" applyFill="1" applyBorder="1" applyProtection="1">
      <protection locked="0"/>
    </xf>
    <xf numFmtId="0" fontId="2" fillId="23" borderId="23" xfId="0" applyFon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4" fillId="10" borderId="11" xfId="3" applyFont="1" applyFill="1" applyBorder="1" applyAlignment="1">
      <alignment horizontal="center" wrapText="1"/>
    </xf>
    <xf numFmtId="0" fontId="24" fillId="10" borderId="0" xfId="3" applyFont="1" applyFill="1" applyBorder="1" applyAlignment="1">
      <alignment horizontal="center" wrapText="1"/>
    </xf>
    <xf numFmtId="0" fontId="37" fillId="0" borderId="0" xfId="3" applyFont="1" applyFill="1" applyBorder="1" applyAlignment="1">
      <alignment horizontal="center"/>
    </xf>
    <xf numFmtId="0" fontId="36" fillId="0" borderId="0" xfId="3" applyFont="1" applyFill="1" applyBorder="1" applyAlignment="1">
      <alignment horizontal="center"/>
    </xf>
    <xf numFmtId="0" fontId="35" fillId="0" borderId="0" xfId="3" applyFont="1" applyFill="1" applyBorder="1" applyAlignment="1">
      <alignment horizontal="center"/>
    </xf>
    <xf numFmtId="0" fontId="30" fillId="0" borderId="7" xfId="3" applyFont="1" applyFill="1" applyBorder="1" applyAlignment="1">
      <alignment horizontal="center" wrapText="1"/>
    </xf>
    <xf numFmtId="0" fontId="24" fillId="10" borderId="8" xfId="3" applyFont="1" applyFill="1" applyBorder="1" applyAlignment="1">
      <alignment horizontal="center"/>
    </xf>
    <xf numFmtId="0" fontId="20" fillId="10" borderId="8" xfId="3" applyFont="1" applyFill="1" applyBorder="1" applyAlignment="1">
      <alignment horizontal="center"/>
    </xf>
  </cellXfs>
  <cellStyles count="8">
    <cellStyle name="Comma 2" xfId="6" xr:uid="{00000000-0005-0000-0000-000000000000}"/>
    <cellStyle name="Currency" xfId="1" builtinId="4"/>
    <cellStyle name="Currency 2" xfId="5" xr:uid="{00000000-0005-0000-0000-000002000000}"/>
    <cellStyle name="Hyperlink" xfId="2" builtinId="8"/>
    <cellStyle name="Hyperlink 2" xfId="4" xr:uid="{00000000-0005-0000-0000-000004000000}"/>
    <cellStyle name="Normal" xfId="0" builtinId="0"/>
    <cellStyle name="Normal 2" xfId="3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mruColors>
      <color rgb="FFFF99FF"/>
      <color rgb="FFA22A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p.wwu.edu/sbo/tuition-and-fee-schedul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finaid.wwu.edu/studentjobs/employers/resources/class_guide/index.php" TargetMode="External"/><Relationship Id="rId1" Type="http://schemas.openxmlformats.org/officeDocument/2006/relationships/hyperlink" Target="http://www.ufww.org/collective-bargaining-agreemen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finaid.wwu.edu/studentjobs/employers/resources/class_guide/cat.php?id=11" TargetMode="External"/><Relationship Id="rId4" Type="http://schemas.openxmlformats.org/officeDocument/2006/relationships/hyperlink" Target="https://gradschool.wwu.edu/ta-compens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wwu.edu/hr/benefits/docs/StaffEligibilityWorksheet.xls" TargetMode="External"/><Relationship Id="rId1" Type="http://schemas.openxmlformats.org/officeDocument/2006/relationships/hyperlink" Target="http://www.acadweb.wwu.edu/hr/benefits/EmployerInfo/StaffEligibilityWorksheet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203"/>
  <sheetViews>
    <sheetView tabSelected="1" workbookViewId="0"/>
  </sheetViews>
  <sheetFormatPr defaultColWidth="9.140625" defaultRowHeight="12.75" x14ac:dyDescent="0.2"/>
  <cols>
    <col min="1" max="1" width="41" style="133" customWidth="1"/>
    <col min="2" max="2" width="11.140625" style="133" bestFit="1" customWidth="1"/>
    <col min="3" max="3" width="11.140625" style="133" customWidth="1"/>
    <col min="4" max="4" width="7.5703125" style="304" bestFit="1" customWidth="1"/>
    <col min="5" max="5" width="5.85546875" style="133" customWidth="1"/>
    <col min="6" max="6" width="10.140625" style="170" bestFit="1" customWidth="1"/>
    <col min="7" max="7" width="8.5703125" style="170" customWidth="1"/>
    <col min="8" max="8" width="11.5703125" style="170" bestFit="1" customWidth="1"/>
    <col min="9" max="10" width="8.5703125" style="170" customWidth="1"/>
    <col min="11" max="11" width="5.85546875" style="133" customWidth="1"/>
    <col min="12" max="12" width="10.140625" style="170" bestFit="1" customWidth="1"/>
    <col min="13" max="13" width="5.85546875" style="133" customWidth="1"/>
    <col min="14" max="15" width="10.140625" style="170" bestFit="1" customWidth="1"/>
    <col min="16" max="16" width="9.85546875" style="186" bestFit="1" customWidth="1"/>
    <col min="17" max="17" width="4.28515625" style="133" customWidth="1"/>
    <col min="18" max="18" width="33.7109375" style="133" customWidth="1"/>
    <col min="19" max="19" width="16.5703125" style="133" customWidth="1"/>
    <col min="20" max="20" width="10.42578125" style="133" customWidth="1"/>
    <col min="21" max="21" width="15.28515625" style="133" customWidth="1"/>
    <col min="22" max="22" width="11.7109375" style="133" customWidth="1"/>
    <col min="23" max="23" width="8.28515625" style="133" customWidth="1"/>
    <col min="24" max="24" width="11.28515625" style="133" customWidth="1"/>
    <col min="25" max="25" width="12.7109375" style="133" customWidth="1"/>
    <col min="26" max="26" width="10.7109375" style="133" customWidth="1"/>
    <col min="27" max="27" width="16" style="133" customWidth="1"/>
    <col min="28" max="29" width="8.7109375" style="133" customWidth="1"/>
    <col min="30" max="30" width="7" style="133" customWidth="1"/>
    <col min="31" max="31" width="11.42578125" style="133" customWidth="1"/>
    <col min="32" max="32" width="9.140625" style="133"/>
    <col min="33" max="33" width="18.140625" style="133" bestFit="1" customWidth="1"/>
    <col min="34" max="16384" width="9.140625" style="133"/>
  </cols>
  <sheetData>
    <row r="1" spans="1:35" s="123" customFormat="1" ht="25.5" x14ac:dyDescent="0.2">
      <c r="A1" s="185" t="s">
        <v>203</v>
      </c>
      <c r="B1" s="120"/>
      <c r="C1" s="120"/>
      <c r="D1" s="302"/>
      <c r="E1" s="120"/>
      <c r="F1" s="121" t="s">
        <v>192</v>
      </c>
      <c r="G1" s="121"/>
      <c r="H1" s="121" t="s">
        <v>193</v>
      </c>
      <c r="I1" s="121"/>
      <c r="J1" s="121" t="s">
        <v>194</v>
      </c>
      <c r="K1" s="120"/>
      <c r="L1" s="121" t="s">
        <v>195</v>
      </c>
      <c r="M1" s="120"/>
      <c r="N1" s="121" t="s">
        <v>196</v>
      </c>
      <c r="O1" s="121" t="s">
        <v>0</v>
      </c>
      <c r="P1" s="189" t="s">
        <v>25</v>
      </c>
      <c r="Q1" s="122"/>
    </row>
    <row r="2" spans="1:35" s="123" customFormat="1" ht="36" customHeight="1" x14ac:dyDescent="0.2">
      <c r="A2" s="184" t="s">
        <v>26</v>
      </c>
      <c r="B2" s="125"/>
      <c r="C2" s="125"/>
      <c r="D2" s="303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87"/>
      <c r="R2" s="188"/>
      <c r="S2" s="127"/>
      <c r="T2" s="127"/>
      <c r="U2" s="127"/>
      <c r="V2" s="127"/>
    </row>
    <row r="3" spans="1:35" s="123" customFormat="1" ht="41.25" x14ac:dyDescent="0.4">
      <c r="A3" s="124" t="s">
        <v>27</v>
      </c>
      <c r="B3" s="125" t="s">
        <v>182</v>
      </c>
      <c r="C3" s="125" t="s">
        <v>181</v>
      </c>
      <c r="D3" s="303" t="s">
        <v>191</v>
      </c>
      <c r="E3" s="125" t="s">
        <v>190</v>
      </c>
      <c r="F3" s="126">
        <v>4.2500000000000003E-2</v>
      </c>
      <c r="G3" s="125" t="s">
        <v>21</v>
      </c>
      <c r="H3" s="126">
        <v>4.2500000000000003E-2</v>
      </c>
      <c r="I3" s="125" t="s">
        <v>21</v>
      </c>
      <c r="J3" s="126">
        <v>4.2500000000000003E-2</v>
      </c>
      <c r="K3" s="125" t="s">
        <v>21</v>
      </c>
      <c r="L3" s="126">
        <v>4.2500000000000003E-2</v>
      </c>
      <c r="M3" s="125" t="s">
        <v>21</v>
      </c>
      <c r="N3" s="126">
        <v>4.2500000000000003E-2</v>
      </c>
      <c r="O3" s="126"/>
      <c r="P3" s="187"/>
      <c r="R3" s="214" t="s">
        <v>168</v>
      </c>
      <c r="S3" s="215"/>
      <c r="T3" s="215"/>
      <c r="U3" s="215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</row>
    <row r="4" spans="1:35" s="131" customFormat="1" ht="38.25" x14ac:dyDescent="0.2">
      <c r="A4" s="128" t="s">
        <v>29</v>
      </c>
      <c r="B4" s="129"/>
      <c r="C4" s="129"/>
      <c r="D4" s="266"/>
      <c r="E4" s="129"/>
      <c r="F4" s="130"/>
      <c r="G4" s="129"/>
      <c r="H4" s="130"/>
      <c r="I4" s="129"/>
      <c r="J4" s="130"/>
      <c r="K4" s="129"/>
      <c r="L4" s="130"/>
      <c r="M4" s="129"/>
      <c r="N4" s="130"/>
      <c r="O4" s="130"/>
      <c r="P4" s="190"/>
      <c r="R4" s="201"/>
      <c r="S4" s="227" t="s">
        <v>94</v>
      </c>
      <c r="T4" s="228" t="s">
        <v>183</v>
      </c>
      <c r="U4" s="228" t="s">
        <v>176</v>
      </c>
      <c r="V4" s="205" t="s">
        <v>158</v>
      </c>
      <c r="W4" s="205" t="s">
        <v>159</v>
      </c>
      <c r="X4" s="205" t="s">
        <v>160</v>
      </c>
      <c r="Y4" s="205" t="s">
        <v>161</v>
      </c>
      <c r="Z4" s="205" t="s">
        <v>162</v>
      </c>
      <c r="AA4" s="205" t="s">
        <v>169</v>
      </c>
      <c r="AB4" s="205" t="s">
        <v>163</v>
      </c>
      <c r="AC4" s="205" t="s">
        <v>164</v>
      </c>
      <c r="AD4" s="205" t="s">
        <v>165</v>
      </c>
      <c r="AE4" s="205" t="s">
        <v>166</v>
      </c>
      <c r="AF4" s="206" t="s">
        <v>167</v>
      </c>
    </row>
    <row r="5" spans="1:35" x14ac:dyDescent="0.2">
      <c r="A5" s="239" t="s">
        <v>155</v>
      </c>
      <c r="B5" s="213">
        <v>0</v>
      </c>
      <c r="C5" s="225" t="s">
        <v>179</v>
      </c>
      <c r="D5" s="272">
        <f>IF(C5="N",B5/9, B5/36)</f>
        <v>0</v>
      </c>
      <c r="E5" s="118">
        <v>0.5</v>
      </c>
      <c r="F5" s="277">
        <f>(1+$F$3)*D5*E5</f>
        <v>0</v>
      </c>
      <c r="G5" s="118">
        <v>0.5</v>
      </c>
      <c r="H5" s="277">
        <f>D5*(1+$F$3)*(1+$H$3)*G5</f>
        <v>0</v>
      </c>
      <c r="I5" s="118">
        <v>0</v>
      </c>
      <c r="J5" s="277">
        <f>D5*(1+$F$3)*(1+$H$3)*(1+$J$3)*I5</f>
        <v>0</v>
      </c>
      <c r="K5" s="118">
        <v>0</v>
      </c>
      <c r="L5" s="277">
        <f>D5*(1+$F$3)*(1+$H$3)*(1+$J$3)*(1+$L$3)*K5</f>
        <v>0</v>
      </c>
      <c r="M5" s="118">
        <v>0</v>
      </c>
      <c r="N5" s="284">
        <f>D5*(1+$F$3)*(1+$H$3)*(1+$J$3)*(1+$L$3)*(1+$N$3)*M5</f>
        <v>0</v>
      </c>
      <c r="O5" s="277">
        <f t="shared" ref="O5:O13" si="0">SUM(F5+H5+J5+L5+N5)</f>
        <v>0</v>
      </c>
      <c r="P5" s="191"/>
      <c r="R5" s="291" t="str">
        <f t="shared" ref="R5:S10" si="1">A5</f>
        <v>Faculty / Research Assoc. #1</v>
      </c>
      <c r="S5" s="292">
        <f t="shared" si="1"/>
        <v>0</v>
      </c>
      <c r="T5" s="230">
        <v>1</v>
      </c>
      <c r="U5" s="229">
        <v>0.1</v>
      </c>
      <c r="V5" s="207">
        <f>ROUND((S5*KEEP!$H$28),0)</f>
        <v>0</v>
      </c>
      <c r="W5" s="207">
        <f>IF(S5&lt;KEEP!$H$29,ROUND((+S5*KEEP!$F$29),0),ROUND((+KEEP!$H$29*KEEP!$F$29),0))</f>
        <v>0</v>
      </c>
      <c r="X5" s="207">
        <f>IF(C5="Y",IF(T5&gt;49%,KEEP!$E$30*12,0),0)</f>
        <v>0</v>
      </c>
      <c r="Y5" s="207">
        <f>IF(T5&gt;90%,KEEP!$E$31*12,T5*173.33*0.1144*12)</f>
        <v>219</v>
      </c>
      <c r="Z5" s="207">
        <f>IF(T5&gt;90%,KEEP!$E$32*12,T5*173.33*0.0888*12)</f>
        <v>181</v>
      </c>
      <c r="AA5" s="208">
        <f>ROUND((S5*KEEP!$H$33),0)</f>
        <v>0</v>
      </c>
      <c r="AB5" s="207">
        <f t="shared" ref="AB5:AB12" si="2">ROUND((S5*U5),0)</f>
        <v>0</v>
      </c>
      <c r="AC5" s="207">
        <f>ROUND((S5*KEEP!$H$35),0)</f>
        <v>0</v>
      </c>
      <c r="AD5" s="207">
        <f>ROUND((S5*KEEP!$H$36),0)</f>
        <v>0</v>
      </c>
      <c r="AE5" s="207">
        <f>SUM(V5:AD5)</f>
        <v>400</v>
      </c>
      <c r="AF5" s="209">
        <f t="shared" ref="AF5:AF12" si="3">IFERROR(AE5/S5, 0)</f>
        <v>0</v>
      </c>
    </row>
    <row r="6" spans="1:35" x14ac:dyDescent="0.2">
      <c r="A6" s="239" t="s">
        <v>156</v>
      </c>
      <c r="B6" s="213">
        <v>0</v>
      </c>
      <c r="C6" s="225" t="s">
        <v>179</v>
      </c>
      <c r="D6" s="272">
        <f>IF(C6="N",B6/9, B6/36)</f>
        <v>0</v>
      </c>
      <c r="E6" s="118">
        <v>0</v>
      </c>
      <c r="F6" s="277">
        <f>(1+$F$3)*D6*E6</f>
        <v>0</v>
      </c>
      <c r="G6" s="118">
        <v>0</v>
      </c>
      <c r="H6" s="277">
        <f t="shared" ref="H6:H8" si="4">D6*(1+$F$3)*(1+$H$3)*G6</f>
        <v>0</v>
      </c>
      <c r="I6" s="118">
        <v>0</v>
      </c>
      <c r="J6" s="277">
        <f t="shared" ref="J6:J8" si="5">D6*(1+$F$3)*(1+$H$3)*(1+$J$3)*I6</f>
        <v>0</v>
      </c>
      <c r="K6" s="118">
        <v>0</v>
      </c>
      <c r="L6" s="277">
        <f t="shared" ref="L6:L8" si="6">D6*(1+$F$3)*(1+$H$3)*(1+$J$3)*(1+$L$3)*K6</f>
        <v>0</v>
      </c>
      <c r="M6" s="118">
        <v>0</v>
      </c>
      <c r="N6" s="284">
        <f t="shared" ref="N6:N8" si="7">D6*(1+$F$3)*(1+$H$3)*(1+$J$3)*(1+$L$3)*(1+$N$3)*M6</f>
        <v>0</v>
      </c>
      <c r="O6" s="277">
        <f t="shared" si="0"/>
        <v>0</v>
      </c>
      <c r="R6" s="291" t="str">
        <f t="shared" si="1"/>
        <v>Faculty / Research Assoc. #2</v>
      </c>
      <c r="S6" s="292">
        <f t="shared" si="1"/>
        <v>0</v>
      </c>
      <c r="T6" s="230">
        <v>1</v>
      </c>
      <c r="U6" s="229">
        <v>0.1</v>
      </c>
      <c r="V6" s="207">
        <f>ROUND((S6*KEEP!$H$28),0)</f>
        <v>0</v>
      </c>
      <c r="W6" s="207">
        <f>IF(S6&lt;KEEP!$H$29,ROUND((+S6*KEEP!$F$29),0),ROUND((+KEEP!$H$29*KEEP!$F$29),0))</f>
        <v>0</v>
      </c>
      <c r="X6" s="207">
        <f>IF(C6="Y",IF(T6&gt;49%,KEEP!$E$30*12,0),0)</f>
        <v>0</v>
      </c>
      <c r="Y6" s="207">
        <f>IF(T6&gt;90%,KEEP!$E$31*12,T6*173.33*0.1144*12)</f>
        <v>219</v>
      </c>
      <c r="Z6" s="207">
        <f>IF(T6&gt;90%,KEEP!$E$32*12,T6*173.33*0.0888*12)</f>
        <v>181</v>
      </c>
      <c r="AA6" s="208">
        <f>ROUND((S6*KEEP!$H$33),0)</f>
        <v>0</v>
      </c>
      <c r="AB6" s="207">
        <f t="shared" si="2"/>
        <v>0</v>
      </c>
      <c r="AC6" s="207">
        <f>ROUND((S6*KEEP!$H$35),0)</f>
        <v>0</v>
      </c>
      <c r="AD6" s="207">
        <f>ROUND((S6*KEEP!$H$36),0)</f>
        <v>0</v>
      </c>
      <c r="AE6" s="207">
        <f t="shared" ref="AE6:AE12" si="8">SUM(V6:AD6)</f>
        <v>400</v>
      </c>
      <c r="AF6" s="209">
        <f t="shared" si="3"/>
        <v>0</v>
      </c>
    </row>
    <row r="7" spans="1:35" x14ac:dyDescent="0.2">
      <c r="A7" s="239" t="s">
        <v>189</v>
      </c>
      <c r="B7" s="213">
        <v>0</v>
      </c>
      <c r="C7" s="225" t="s">
        <v>170</v>
      </c>
      <c r="D7" s="272">
        <f t="shared" ref="D7:D8" si="9">IF(C7="N",B7/9, B7/36)</f>
        <v>0</v>
      </c>
      <c r="E7" s="118">
        <v>0</v>
      </c>
      <c r="F7" s="277">
        <f>(1+$F$3)*D7*E7</f>
        <v>0</v>
      </c>
      <c r="G7" s="118">
        <v>0</v>
      </c>
      <c r="H7" s="277">
        <f t="shared" si="4"/>
        <v>0</v>
      </c>
      <c r="I7" s="118">
        <v>0</v>
      </c>
      <c r="J7" s="277">
        <f t="shared" si="5"/>
        <v>0</v>
      </c>
      <c r="K7" s="118">
        <v>0</v>
      </c>
      <c r="L7" s="277">
        <f t="shared" si="6"/>
        <v>0</v>
      </c>
      <c r="M7" s="118">
        <v>0</v>
      </c>
      <c r="N7" s="284">
        <f t="shared" si="7"/>
        <v>0</v>
      </c>
      <c r="O7" s="277">
        <f t="shared" si="0"/>
        <v>0</v>
      </c>
      <c r="R7" s="291" t="str">
        <f t="shared" si="1"/>
        <v>Faculty / Research Assoc. #3</v>
      </c>
      <c r="S7" s="292">
        <f t="shared" si="1"/>
        <v>0</v>
      </c>
      <c r="T7" s="230">
        <v>1</v>
      </c>
      <c r="U7" s="229">
        <v>7.4999999999999997E-2</v>
      </c>
      <c r="V7" s="207">
        <f>ROUND((S7*KEEP!$H$28),0)</f>
        <v>0</v>
      </c>
      <c r="W7" s="207">
        <f>IF(S7&lt;KEEP!$H$29,ROUND((+S7*KEEP!$F$29),0),ROUND((+KEEP!$H$29*KEEP!$F$29),0))</f>
        <v>0</v>
      </c>
      <c r="X7" s="207">
        <f>IF(C7="Y",IF(T7&gt;49%,KEEP!$E$30*12,0),0)</f>
        <v>11712</v>
      </c>
      <c r="Y7" s="207">
        <f>IF(T7&gt;90%,KEEP!$E$31*12,T7*173.33*0.1144*12)</f>
        <v>219</v>
      </c>
      <c r="Z7" s="207">
        <f>IF(T7&gt;90%,KEEP!$E$32*12,T7*173.33*0.0888*12)</f>
        <v>181</v>
      </c>
      <c r="AA7" s="208">
        <f>ROUND((S7*KEEP!$H$33),0)</f>
        <v>0</v>
      </c>
      <c r="AB7" s="207">
        <f t="shared" si="2"/>
        <v>0</v>
      </c>
      <c r="AC7" s="207">
        <f>ROUND((S7*KEEP!$H$35),0)</f>
        <v>0</v>
      </c>
      <c r="AD7" s="207">
        <f>ROUND((S7*KEEP!$H$36),0)</f>
        <v>0</v>
      </c>
      <c r="AE7" s="207">
        <f t="shared" ref="AE7" si="10">SUM(V7:AD7)</f>
        <v>12112</v>
      </c>
      <c r="AF7" s="209">
        <f t="shared" si="3"/>
        <v>0</v>
      </c>
    </row>
    <row r="8" spans="1:35" x14ac:dyDescent="0.2">
      <c r="A8" s="239" t="s">
        <v>180</v>
      </c>
      <c r="B8" s="213">
        <v>0</v>
      </c>
      <c r="C8" s="225" t="s">
        <v>170</v>
      </c>
      <c r="D8" s="272">
        <f t="shared" si="9"/>
        <v>0</v>
      </c>
      <c r="E8" s="118">
        <v>0</v>
      </c>
      <c r="F8" s="277">
        <f>(1+$F$3)*D8*E8</f>
        <v>0</v>
      </c>
      <c r="G8" s="118">
        <v>0</v>
      </c>
      <c r="H8" s="277">
        <f t="shared" si="4"/>
        <v>0</v>
      </c>
      <c r="I8" s="118">
        <v>0</v>
      </c>
      <c r="J8" s="277">
        <f t="shared" si="5"/>
        <v>0</v>
      </c>
      <c r="K8" s="118">
        <v>0</v>
      </c>
      <c r="L8" s="277">
        <f t="shared" si="6"/>
        <v>0</v>
      </c>
      <c r="M8" s="118">
        <v>0</v>
      </c>
      <c r="N8" s="284">
        <f t="shared" si="7"/>
        <v>0</v>
      </c>
      <c r="O8" s="277">
        <f t="shared" si="0"/>
        <v>0</v>
      </c>
      <c r="R8" s="291" t="str">
        <f t="shared" si="1"/>
        <v>Faculty / Research Assoc. #4</v>
      </c>
      <c r="S8" s="292">
        <f t="shared" si="1"/>
        <v>0</v>
      </c>
      <c r="T8" s="230">
        <v>1</v>
      </c>
      <c r="U8" s="229">
        <v>7.4999999999999997E-2</v>
      </c>
      <c r="V8" s="207">
        <f>ROUND((S8*KEEP!$H$28),0)</f>
        <v>0</v>
      </c>
      <c r="W8" s="207">
        <f>IF(S8&lt;KEEP!$H$29,ROUND((+S8*KEEP!$F$29),0),ROUND((+KEEP!$H$29*KEEP!$F$29),0))</f>
        <v>0</v>
      </c>
      <c r="X8" s="207">
        <f>IF(C8="Y",IF(T8&gt;49%,KEEP!$E$30*12,0),0)</f>
        <v>11712</v>
      </c>
      <c r="Y8" s="207">
        <f>IF(T8&gt;90%,KEEP!$E$31*12,T8*173.33*0.1144*12)</f>
        <v>219</v>
      </c>
      <c r="Z8" s="207">
        <f>IF(T8&gt;90%,KEEP!$E$32*12,T8*173.33*0.0888*12)</f>
        <v>181</v>
      </c>
      <c r="AA8" s="208">
        <f>ROUND((S8*KEEP!$H$33),0)</f>
        <v>0</v>
      </c>
      <c r="AB8" s="207">
        <f t="shared" si="2"/>
        <v>0</v>
      </c>
      <c r="AC8" s="207">
        <f>ROUND((S8*KEEP!$H$35),0)</f>
        <v>0</v>
      </c>
      <c r="AD8" s="207">
        <f>ROUND((S8*KEEP!$H$36),0)</f>
        <v>0</v>
      </c>
      <c r="AE8" s="207">
        <f t="shared" ref="AE8" si="11">SUM(V8:AD8)</f>
        <v>12112</v>
      </c>
      <c r="AF8" s="209">
        <f t="shared" si="3"/>
        <v>0</v>
      </c>
    </row>
    <row r="9" spans="1:35" x14ac:dyDescent="0.2">
      <c r="A9" s="240" t="s">
        <v>185</v>
      </c>
      <c r="B9" s="213">
        <v>0</v>
      </c>
      <c r="C9" s="258"/>
      <c r="D9" s="272">
        <f>B9/12</f>
        <v>0</v>
      </c>
      <c r="E9" s="118">
        <v>0</v>
      </c>
      <c r="F9" s="277">
        <f>D9*E9</f>
        <v>0</v>
      </c>
      <c r="G9" s="118">
        <v>0</v>
      </c>
      <c r="H9" s="277">
        <f>D9*G9*1.03</f>
        <v>0</v>
      </c>
      <c r="I9" s="118">
        <v>0</v>
      </c>
      <c r="J9" s="277">
        <f>D9*I9*1.03^2</f>
        <v>0</v>
      </c>
      <c r="K9" s="118">
        <v>0</v>
      </c>
      <c r="L9" s="277">
        <f>D9*K9*1.03^3</f>
        <v>0</v>
      </c>
      <c r="M9" s="118">
        <v>0</v>
      </c>
      <c r="N9" s="277">
        <f>D9*M9*1.03^4</f>
        <v>0</v>
      </c>
      <c r="O9" s="277">
        <f t="shared" si="0"/>
        <v>0</v>
      </c>
      <c r="R9" s="291" t="str">
        <f t="shared" si="1"/>
        <v>Post Doc / Staff #1</v>
      </c>
      <c r="S9" s="292">
        <f t="shared" si="1"/>
        <v>0</v>
      </c>
      <c r="T9" s="230">
        <v>1</v>
      </c>
      <c r="U9" s="229">
        <v>0.1283</v>
      </c>
      <c r="V9" s="207">
        <f>ROUND((S9*KEEP!$H$28),0)</f>
        <v>0</v>
      </c>
      <c r="W9" s="207">
        <f>IF(S9&lt;KEEP!$H$29,ROUND((+S9*KEEP!$F$29),0),ROUND((+KEEP!$H$29*KEEP!$F$29),0))</f>
        <v>0</v>
      </c>
      <c r="X9" s="210">
        <f>IF(T9&gt;49%,KEEP!$E$30*12,0)</f>
        <v>11712</v>
      </c>
      <c r="Y9" s="207">
        <f>IF(T9&gt;90%,KEEP!$E$31*12,T9*173.33*0.1144*12)</f>
        <v>219</v>
      </c>
      <c r="Z9" s="207">
        <f>IF(T9&gt;90%,KEEP!$E$32*12,T9*173.33*0.0888*12)</f>
        <v>181</v>
      </c>
      <c r="AA9" s="208">
        <f>ROUND((S9*KEEP!$H$33),0)</f>
        <v>0</v>
      </c>
      <c r="AB9" s="207">
        <f t="shared" si="2"/>
        <v>0</v>
      </c>
      <c r="AC9" s="207">
        <f>ROUND((S9*KEEP!$H$35),0)</f>
        <v>0</v>
      </c>
      <c r="AD9" s="207">
        <f>ROUND((S9*KEEP!$H$36),0)</f>
        <v>0</v>
      </c>
      <c r="AE9" s="207">
        <f t="shared" si="8"/>
        <v>12112</v>
      </c>
      <c r="AF9" s="209">
        <f t="shared" si="3"/>
        <v>0</v>
      </c>
    </row>
    <row r="10" spans="1:35" x14ac:dyDescent="0.2">
      <c r="A10" s="240" t="s">
        <v>186</v>
      </c>
      <c r="B10" s="213">
        <v>0</v>
      </c>
      <c r="C10" s="258"/>
      <c r="D10" s="272">
        <f>B10/12</f>
        <v>0</v>
      </c>
      <c r="E10" s="118">
        <v>0</v>
      </c>
      <c r="F10" s="277">
        <f>D10*E10</f>
        <v>0</v>
      </c>
      <c r="G10" s="118">
        <v>0</v>
      </c>
      <c r="H10" s="277">
        <f>D10*G10*1.03</f>
        <v>0</v>
      </c>
      <c r="I10" s="118">
        <v>0</v>
      </c>
      <c r="J10" s="277">
        <f>D10*I10*1.03^2</f>
        <v>0</v>
      </c>
      <c r="K10" s="118">
        <v>0</v>
      </c>
      <c r="L10" s="277">
        <f>D10*K10*1.03^3</f>
        <v>0</v>
      </c>
      <c r="M10" s="118">
        <v>0</v>
      </c>
      <c r="N10" s="277">
        <f>D10*M10*1.03^4</f>
        <v>0</v>
      </c>
      <c r="O10" s="277">
        <f t="shared" si="0"/>
        <v>0</v>
      </c>
      <c r="R10" s="291" t="str">
        <f t="shared" si="1"/>
        <v>Post Doc / Staff #2</v>
      </c>
      <c r="S10" s="292">
        <f t="shared" si="1"/>
        <v>0</v>
      </c>
      <c r="T10" s="230">
        <v>1</v>
      </c>
      <c r="U10" s="229">
        <v>0.1283</v>
      </c>
      <c r="V10" s="207">
        <f>ROUND((S10*KEEP!$H$28),0)</f>
        <v>0</v>
      </c>
      <c r="W10" s="207">
        <f>IF(S10&lt;KEEP!$H$29,ROUND((+S10*KEEP!$F$29),0),ROUND((+KEEP!$H$29*KEEP!$F$29),0))</f>
        <v>0</v>
      </c>
      <c r="X10" s="210">
        <f>IF(T10&gt;49%,KEEP!$E$30*12,0)</f>
        <v>11712</v>
      </c>
      <c r="Y10" s="207">
        <f>IF(T10&gt;90%,KEEP!$E$31*12,T10*173.33*0.1144*12)</f>
        <v>219</v>
      </c>
      <c r="Z10" s="207">
        <f>IF(T10&gt;90%,KEEP!$E$32*12,T10*173.33*0.0888*12)</f>
        <v>181</v>
      </c>
      <c r="AA10" s="208">
        <f>ROUND((S10*KEEP!$H$33),0)</f>
        <v>0</v>
      </c>
      <c r="AB10" s="207">
        <f t="shared" si="2"/>
        <v>0</v>
      </c>
      <c r="AC10" s="207">
        <f>ROUND((S10*KEEP!$H$35),0)</f>
        <v>0</v>
      </c>
      <c r="AD10" s="207">
        <f>ROUND((S10*KEEP!$H$36),0)</f>
        <v>0</v>
      </c>
      <c r="AE10" s="207">
        <f t="shared" ref="AE10" si="12">SUM(V10:AD10)</f>
        <v>12112</v>
      </c>
      <c r="AF10" s="209">
        <f t="shared" si="3"/>
        <v>0</v>
      </c>
    </row>
    <row r="11" spans="1:35" x14ac:dyDescent="0.2">
      <c r="A11" s="236" t="s">
        <v>157</v>
      </c>
      <c r="B11" s="258">
        <f>SUM(W26:W32)</f>
        <v>0</v>
      </c>
      <c r="C11" s="258"/>
      <c r="D11" s="272">
        <f>B11</f>
        <v>0</v>
      </c>
      <c r="E11" s="118">
        <v>0</v>
      </c>
      <c r="F11" s="277">
        <f>D11*E11*1.06</f>
        <v>0</v>
      </c>
      <c r="G11" s="118">
        <v>1</v>
      </c>
      <c r="H11" s="277">
        <f>D11*G11*1.06^2</f>
        <v>0</v>
      </c>
      <c r="I11" s="118">
        <v>0</v>
      </c>
      <c r="J11" s="277">
        <f>D11*I11*1.06^2*1.02</f>
        <v>0</v>
      </c>
      <c r="K11" s="118">
        <v>0</v>
      </c>
      <c r="L11" s="277">
        <f>D11*K11*1.06^2*1.02^2</f>
        <v>0</v>
      </c>
      <c r="M11" s="118">
        <v>0</v>
      </c>
      <c r="N11" s="277">
        <f>D11*M11*1.6^2*1.02^3</f>
        <v>0</v>
      </c>
      <c r="O11" s="277">
        <f>SUM(F11+H11+J11+L11+N11)</f>
        <v>0</v>
      </c>
      <c r="R11" s="291" t="str">
        <f>A11</f>
        <v>Graduate Students</v>
      </c>
      <c r="S11" s="292">
        <f>SUM(W26:W32)</f>
        <v>0</v>
      </c>
      <c r="T11" s="231">
        <v>0.25</v>
      </c>
      <c r="U11" s="202"/>
      <c r="V11" s="207">
        <f>ROUND((S11*KEEP!$H$28),0)</f>
        <v>0</v>
      </c>
      <c r="W11" s="207">
        <f>IF(S11&lt;KEEP!$H$29,ROUND((+S11*KEEP!$F$29),0),ROUND((+KEEP!$H$29*KEEP!$F$29),0))</f>
        <v>0</v>
      </c>
      <c r="X11" s="211">
        <f>SUM(Y26:Y32)</f>
        <v>0</v>
      </c>
      <c r="Y11" s="207">
        <f>IF(T11&gt;90%,KEEP!$E$31*12,T11*173.33*0.1144*12)</f>
        <v>59</v>
      </c>
      <c r="Z11" s="207">
        <f>IF(T11&gt;90%,KEEP!$E$32*12,T11*173.33*0.0888*12)</f>
        <v>46</v>
      </c>
      <c r="AA11" s="208"/>
      <c r="AB11" s="207">
        <f t="shared" si="2"/>
        <v>0</v>
      </c>
      <c r="AC11" s="207">
        <f>ROUND((S11*KEEP!$H$35),0)</f>
        <v>0</v>
      </c>
      <c r="AD11" s="207">
        <f>ROUND((S11*KEEP!$H$36),0)</f>
        <v>0</v>
      </c>
      <c r="AE11" s="207">
        <f t="shared" si="8"/>
        <v>105</v>
      </c>
      <c r="AF11" s="209">
        <f t="shared" si="3"/>
        <v>0</v>
      </c>
    </row>
    <row r="12" spans="1:35" ht="13.5" thickBot="1" x14ac:dyDescent="0.25">
      <c r="A12" s="237" t="s">
        <v>197</v>
      </c>
      <c r="B12" s="226">
        <v>0</v>
      </c>
      <c r="C12" s="259"/>
      <c r="D12" s="272">
        <f>B12</f>
        <v>0</v>
      </c>
      <c r="E12" s="118">
        <v>0</v>
      </c>
      <c r="F12" s="277">
        <f>D12*E12</f>
        <v>0</v>
      </c>
      <c r="G12" s="118">
        <v>0</v>
      </c>
      <c r="H12" s="277">
        <f>D12*G12</f>
        <v>0</v>
      </c>
      <c r="I12" s="118">
        <v>0</v>
      </c>
      <c r="J12" s="277">
        <f>D12*I12</f>
        <v>0</v>
      </c>
      <c r="K12" s="118">
        <v>0</v>
      </c>
      <c r="L12" s="277">
        <f>D12*K12</f>
        <v>0</v>
      </c>
      <c r="M12" s="118">
        <v>0</v>
      </c>
      <c r="N12" s="277">
        <f>D12*M12</f>
        <v>0</v>
      </c>
      <c r="O12" s="282">
        <f t="shared" si="0"/>
        <v>0</v>
      </c>
      <c r="R12" s="291" t="str">
        <f>A12</f>
        <v>Undergraduate Students ($hr,  #hr)</v>
      </c>
      <c r="S12" s="292">
        <f>B12</f>
        <v>0</v>
      </c>
      <c r="T12" s="231">
        <v>0.25</v>
      </c>
      <c r="U12" s="202"/>
      <c r="V12" s="207">
        <f>ROUND((S12*KEEP!$H$28),0)</f>
        <v>0</v>
      </c>
      <c r="W12" s="207">
        <f>IF(S12&lt;KEEP!$H$29,ROUND((+S12*KEEP!$F$29),0),ROUND((+KEEP!$H$29*KEEP!$F$29),0))</f>
        <v>0</v>
      </c>
      <c r="X12" s="207"/>
      <c r="Y12" s="207">
        <f>IF(T12&gt;90%,KEEP!$E$31*12,T12*173.33*0.1144*12)</f>
        <v>59</v>
      </c>
      <c r="Z12" s="207">
        <f>IF(T12&gt;90%,KEEP!$E$32*12,T12*173.33*0.0888*12)</f>
        <v>46</v>
      </c>
      <c r="AA12" s="208"/>
      <c r="AB12" s="207">
        <f t="shared" si="2"/>
        <v>0</v>
      </c>
      <c r="AC12" s="207">
        <f>ROUND((S12*KEEP!$H$35),0)</f>
        <v>0</v>
      </c>
      <c r="AD12" s="207">
        <f>ROUND((S12*KEEP!$H$36),0)</f>
        <v>0</v>
      </c>
      <c r="AE12" s="207">
        <f t="shared" si="8"/>
        <v>105</v>
      </c>
      <c r="AF12" s="209">
        <f t="shared" si="3"/>
        <v>0</v>
      </c>
    </row>
    <row r="13" spans="1:35" x14ac:dyDescent="0.2">
      <c r="A13" s="134" t="s">
        <v>1</v>
      </c>
      <c r="B13" s="135"/>
      <c r="C13" s="260"/>
      <c r="D13" s="260"/>
      <c r="E13" s="135"/>
      <c r="F13" s="278">
        <f>SUM(F5:F12)</f>
        <v>0</v>
      </c>
      <c r="G13" s="136"/>
      <c r="H13" s="278">
        <f>SUM(H5:H12)</f>
        <v>0</v>
      </c>
      <c r="I13" s="136"/>
      <c r="J13" s="278">
        <f>SUM(J5:J12)</f>
        <v>0</v>
      </c>
      <c r="K13" s="135"/>
      <c r="L13" s="278">
        <f>SUM(L5:L12)</f>
        <v>0</v>
      </c>
      <c r="M13" s="135"/>
      <c r="N13" s="278">
        <f>SUM(N5:N12)</f>
        <v>0</v>
      </c>
      <c r="O13" s="278">
        <f t="shared" si="0"/>
        <v>0</v>
      </c>
      <c r="P13" s="192">
        <f>SUM(O5:O12)</f>
        <v>0</v>
      </c>
      <c r="Q13" s="137"/>
      <c r="R13" s="293"/>
      <c r="S13" s="293"/>
      <c r="T13" s="141"/>
      <c r="U13" s="141"/>
      <c r="V13" s="141"/>
      <c r="W13" s="141"/>
      <c r="X13" s="141"/>
      <c r="Y13" s="141"/>
      <c r="Z13" s="141"/>
      <c r="AA13" s="141"/>
      <c r="AB13" s="141"/>
      <c r="AC13" s="132"/>
      <c r="AD13" s="132"/>
      <c r="AE13" s="132"/>
      <c r="AF13" s="141"/>
      <c r="AG13" s="141"/>
      <c r="AH13" s="131"/>
      <c r="AI13" s="131"/>
    </row>
    <row r="14" spans="1:35" x14ac:dyDescent="0.2">
      <c r="A14" s="138"/>
      <c r="B14" s="139"/>
      <c r="C14" s="261"/>
      <c r="D14" s="261"/>
      <c r="E14" s="139"/>
      <c r="F14" s="279"/>
      <c r="G14" s="140"/>
      <c r="H14" s="279"/>
      <c r="I14" s="140"/>
      <c r="J14" s="279"/>
      <c r="K14" s="139"/>
      <c r="L14" s="279"/>
      <c r="M14" s="139"/>
      <c r="N14" s="279"/>
      <c r="O14" s="279"/>
      <c r="R14" s="294" t="s">
        <v>96</v>
      </c>
      <c r="S14" s="294"/>
      <c r="T14" s="141"/>
      <c r="U14" s="204" t="s">
        <v>198</v>
      </c>
      <c r="V14" s="204"/>
      <c r="W14" s="141"/>
      <c r="X14" s="204" t="s">
        <v>199</v>
      </c>
      <c r="Y14" s="204"/>
      <c r="Z14" s="141"/>
      <c r="AA14" s="200" t="s">
        <v>154</v>
      </c>
      <c r="AB14" s="201"/>
      <c r="AC14" s="201"/>
      <c r="AD14" s="201"/>
      <c r="AE14" s="201"/>
      <c r="AF14" s="201"/>
      <c r="AG14" s="201"/>
    </row>
    <row r="15" spans="1:35" s="131" customFormat="1" x14ac:dyDescent="0.2">
      <c r="A15" s="234" t="s">
        <v>178</v>
      </c>
      <c r="B15" s="262" t="s">
        <v>167</v>
      </c>
      <c r="C15" s="262"/>
      <c r="D15" s="262"/>
      <c r="E15" s="266"/>
      <c r="F15" s="280"/>
      <c r="G15" s="280"/>
      <c r="H15" s="280"/>
      <c r="I15" s="280"/>
      <c r="J15" s="280"/>
      <c r="K15" s="266"/>
      <c r="L15" s="280"/>
      <c r="M15" s="266"/>
      <c r="N15" s="280"/>
      <c r="O15" s="280"/>
      <c r="P15" s="190"/>
      <c r="R15" s="295" t="s">
        <v>72</v>
      </c>
      <c r="S15" s="294" t="s">
        <v>71</v>
      </c>
      <c r="T15" s="141"/>
      <c r="U15" s="204" t="s">
        <v>171</v>
      </c>
      <c r="V15" s="204">
        <v>4806</v>
      </c>
      <c r="W15" s="141"/>
      <c r="X15" s="204" t="s">
        <v>139</v>
      </c>
      <c r="Y15" s="224">
        <v>1018</v>
      </c>
      <c r="Z15" s="141"/>
      <c r="AA15" s="201" t="s">
        <v>11</v>
      </c>
      <c r="AB15" s="217" t="s">
        <v>149</v>
      </c>
      <c r="AC15" s="201"/>
      <c r="AD15" s="201"/>
      <c r="AE15" s="201"/>
      <c r="AF15" s="201"/>
      <c r="AG15" s="201"/>
      <c r="AH15" s="133"/>
    </row>
    <row r="16" spans="1:35" x14ac:dyDescent="0.2">
      <c r="A16" s="198" t="str">
        <f t="shared" ref="A16:A21" si="13">A5</f>
        <v>Faculty / Research Assoc. #1</v>
      </c>
      <c r="B16" s="263">
        <f>ROUNDUP(AF5,2)+2%</f>
        <v>0.02</v>
      </c>
      <c r="C16" s="263"/>
      <c r="D16" s="263"/>
      <c r="E16" s="317"/>
      <c r="F16" s="281">
        <f t="shared" ref="F16:F21" si="14">$B16*F5</f>
        <v>0</v>
      </c>
      <c r="G16" s="318"/>
      <c r="H16" s="281">
        <f>$B16*H5</f>
        <v>0</v>
      </c>
      <c r="I16" s="318"/>
      <c r="J16" s="281">
        <f t="shared" ref="J16" si="15">$B16*J5</f>
        <v>0</v>
      </c>
      <c r="K16" s="317"/>
      <c r="L16" s="281">
        <f>$B16*L5</f>
        <v>0</v>
      </c>
      <c r="M16" s="317"/>
      <c r="N16" s="281">
        <f>$B16*N5</f>
        <v>0</v>
      </c>
      <c r="O16" s="281">
        <f>SUM(F16+H16+J16+L16+N16)</f>
        <v>0</v>
      </c>
      <c r="R16" s="295" t="s">
        <v>101</v>
      </c>
      <c r="S16" s="296">
        <v>0.1283</v>
      </c>
      <c r="T16" s="141"/>
      <c r="U16" s="204" t="s">
        <v>172</v>
      </c>
      <c r="V16" s="204">
        <v>4806</v>
      </c>
      <c r="W16" s="141"/>
      <c r="X16" s="204" t="s">
        <v>140</v>
      </c>
      <c r="Y16" s="224">
        <v>743</v>
      </c>
      <c r="Z16" s="141"/>
      <c r="AA16" s="201" t="s">
        <v>150</v>
      </c>
      <c r="AB16" s="217" t="s">
        <v>152</v>
      </c>
      <c r="AC16" s="201"/>
      <c r="AD16" s="201"/>
      <c r="AE16" s="201"/>
      <c r="AF16" s="201"/>
      <c r="AG16" s="201"/>
    </row>
    <row r="17" spans="1:34" x14ac:dyDescent="0.2">
      <c r="A17" s="198" t="str">
        <f t="shared" si="13"/>
        <v>Faculty / Research Assoc. #2</v>
      </c>
      <c r="B17" s="263">
        <f t="shared" ref="B17:B22" si="16">ROUNDUP(AF6,2)+2%</f>
        <v>0.02</v>
      </c>
      <c r="C17" s="263"/>
      <c r="D17" s="263"/>
      <c r="E17" s="317"/>
      <c r="F17" s="281">
        <f t="shared" si="14"/>
        <v>0</v>
      </c>
      <c r="G17" s="318"/>
      <c r="H17" s="281">
        <f t="shared" ref="H17:H22" si="17">$B17*H6</f>
        <v>0</v>
      </c>
      <c r="I17" s="318"/>
      <c r="J17" s="281">
        <f t="shared" ref="J17" si="18">$B17*J6</f>
        <v>0</v>
      </c>
      <c r="K17" s="317"/>
      <c r="L17" s="281">
        <f t="shared" ref="L17:L22" si="19">$B17*L6</f>
        <v>0</v>
      </c>
      <c r="M17" s="317"/>
      <c r="N17" s="281">
        <f t="shared" ref="N17:N22" si="20">$B17*N6</f>
        <v>0</v>
      </c>
      <c r="O17" s="281">
        <f t="shared" ref="O17:O57" si="21">SUM(F17+H17+J17+L17+N17)</f>
        <v>0</v>
      </c>
      <c r="R17" s="295" t="s">
        <v>102</v>
      </c>
      <c r="S17" s="296">
        <v>0.15409999999999999</v>
      </c>
      <c r="T17" s="141"/>
      <c r="U17" s="141"/>
      <c r="V17" s="141"/>
      <c r="W17" s="141"/>
      <c r="X17" s="204" t="s">
        <v>141</v>
      </c>
      <c r="Y17" s="224">
        <v>701</v>
      </c>
      <c r="Z17" s="141"/>
      <c r="AA17" s="201" t="s">
        <v>151</v>
      </c>
      <c r="AB17" s="217" t="s">
        <v>153</v>
      </c>
      <c r="AC17" s="217"/>
      <c r="AD17" s="201"/>
      <c r="AE17" s="201"/>
      <c r="AF17" s="201"/>
      <c r="AG17" s="201"/>
      <c r="AH17" s="131"/>
    </row>
    <row r="18" spans="1:34" x14ac:dyDescent="0.2">
      <c r="A18" s="198" t="str">
        <f t="shared" si="13"/>
        <v>Faculty / Research Assoc. #3</v>
      </c>
      <c r="B18" s="263">
        <f t="shared" si="16"/>
        <v>0.02</v>
      </c>
      <c r="C18" s="263"/>
      <c r="D18" s="263"/>
      <c r="E18" s="317"/>
      <c r="F18" s="281">
        <f t="shared" si="14"/>
        <v>0</v>
      </c>
      <c r="G18" s="318"/>
      <c r="H18" s="281">
        <f t="shared" si="17"/>
        <v>0</v>
      </c>
      <c r="I18" s="318"/>
      <c r="J18" s="281">
        <f t="shared" ref="J18" si="22">$B18*J7</f>
        <v>0</v>
      </c>
      <c r="K18" s="317"/>
      <c r="L18" s="281">
        <f t="shared" si="19"/>
        <v>0</v>
      </c>
      <c r="M18" s="317"/>
      <c r="N18" s="281">
        <f t="shared" si="20"/>
        <v>0</v>
      </c>
      <c r="O18" s="281">
        <f t="shared" si="21"/>
        <v>0</v>
      </c>
      <c r="R18" s="295" t="s">
        <v>100</v>
      </c>
      <c r="S18" s="296">
        <v>8.9300000000000004E-2</v>
      </c>
      <c r="T18" s="132"/>
      <c r="U18" s="204" t="s">
        <v>173</v>
      </c>
      <c r="V18" s="204"/>
      <c r="W18" s="132"/>
      <c r="X18" s="204" t="s">
        <v>133</v>
      </c>
      <c r="Y18" s="224">
        <v>585</v>
      </c>
      <c r="Z18" s="132"/>
      <c r="AA18" s="147"/>
      <c r="AB18" s="141"/>
      <c r="AC18" s="147"/>
      <c r="AD18" s="147"/>
      <c r="AE18" s="147"/>
      <c r="AF18" s="147"/>
      <c r="AG18" s="147"/>
      <c r="AH18" s="147"/>
    </row>
    <row r="19" spans="1:34" x14ac:dyDescent="0.2">
      <c r="A19" s="233" t="str">
        <f t="shared" si="13"/>
        <v>Faculty / Research Assoc. #4</v>
      </c>
      <c r="B19" s="263">
        <f t="shared" si="16"/>
        <v>0.02</v>
      </c>
      <c r="C19" s="263"/>
      <c r="D19" s="263"/>
      <c r="E19" s="317"/>
      <c r="F19" s="281">
        <f t="shared" si="14"/>
        <v>0</v>
      </c>
      <c r="G19" s="318"/>
      <c r="H19" s="281">
        <f t="shared" si="17"/>
        <v>0</v>
      </c>
      <c r="I19" s="318"/>
      <c r="J19" s="281">
        <f t="shared" ref="J19" si="23">$B19*J8</f>
        <v>0</v>
      </c>
      <c r="K19" s="318"/>
      <c r="L19" s="281">
        <f t="shared" si="19"/>
        <v>0</v>
      </c>
      <c r="M19" s="318"/>
      <c r="N19" s="281">
        <f t="shared" si="20"/>
        <v>0</v>
      </c>
      <c r="O19" s="281">
        <f t="shared" si="21"/>
        <v>0</v>
      </c>
      <c r="R19" s="295" t="s">
        <v>97</v>
      </c>
      <c r="S19" s="296">
        <v>0.05</v>
      </c>
      <c r="T19" s="141"/>
      <c r="U19" s="327" t="s">
        <v>175</v>
      </c>
      <c r="V19" s="327">
        <v>4064</v>
      </c>
      <c r="W19" s="141"/>
      <c r="X19" s="327" t="s">
        <v>174</v>
      </c>
      <c r="Y19" s="328">
        <f>SUM(Y15:Y18)</f>
        <v>3047</v>
      </c>
      <c r="Z19" s="141"/>
      <c r="AB19" s="147"/>
      <c r="AC19" s="147"/>
      <c r="AD19" s="147"/>
      <c r="AE19" s="147"/>
      <c r="AF19" s="147"/>
      <c r="AG19" s="147"/>
      <c r="AH19" s="147"/>
    </row>
    <row r="20" spans="1:34" x14ac:dyDescent="0.2">
      <c r="A20" s="235" t="str">
        <f t="shared" si="13"/>
        <v>Post Doc / Staff #1</v>
      </c>
      <c r="B20" s="263">
        <f t="shared" si="16"/>
        <v>0.02</v>
      </c>
      <c r="C20" s="263"/>
      <c r="D20" s="263"/>
      <c r="E20" s="319"/>
      <c r="F20" s="281">
        <f t="shared" si="14"/>
        <v>0</v>
      </c>
      <c r="G20" s="318"/>
      <c r="H20" s="281">
        <f t="shared" si="17"/>
        <v>0</v>
      </c>
      <c r="I20" s="318"/>
      <c r="J20" s="281">
        <f t="shared" ref="J20" si="24">$B20*J9</f>
        <v>0</v>
      </c>
      <c r="K20" s="319"/>
      <c r="L20" s="281">
        <f t="shared" si="19"/>
        <v>0</v>
      </c>
      <c r="M20" s="319"/>
      <c r="N20" s="281">
        <f t="shared" si="20"/>
        <v>0</v>
      </c>
      <c r="O20" s="281">
        <f t="shared" si="21"/>
        <v>0</v>
      </c>
      <c r="R20" s="295" t="s">
        <v>98</v>
      </c>
      <c r="S20" s="296">
        <v>7.4999999999999997E-2</v>
      </c>
      <c r="T20" s="141"/>
      <c r="U20" s="329" t="s">
        <v>200</v>
      </c>
      <c r="V20" s="330"/>
      <c r="W20" s="330"/>
      <c r="X20" s="331"/>
      <c r="Y20" s="331"/>
      <c r="Z20" s="331"/>
      <c r="AA20" s="332"/>
      <c r="AB20" s="147"/>
      <c r="AC20" s="147"/>
      <c r="AE20" s="147"/>
      <c r="AF20" s="147"/>
      <c r="AG20" s="147"/>
      <c r="AH20" s="147"/>
    </row>
    <row r="21" spans="1:34" x14ac:dyDescent="0.2">
      <c r="A21" s="235" t="str">
        <f t="shared" si="13"/>
        <v>Post Doc / Staff #2</v>
      </c>
      <c r="B21" s="263">
        <f t="shared" si="16"/>
        <v>0.02</v>
      </c>
      <c r="C21" s="263"/>
      <c r="D21" s="263"/>
      <c r="E21" s="319"/>
      <c r="F21" s="281">
        <f t="shared" si="14"/>
        <v>0</v>
      </c>
      <c r="G21" s="318"/>
      <c r="H21" s="281">
        <f t="shared" si="17"/>
        <v>0</v>
      </c>
      <c r="I21" s="318"/>
      <c r="J21" s="281">
        <f t="shared" ref="J21" si="25">$B21*J10</f>
        <v>0</v>
      </c>
      <c r="K21" s="319"/>
      <c r="L21" s="281">
        <f t="shared" si="19"/>
        <v>0</v>
      </c>
      <c r="M21" s="319"/>
      <c r="N21" s="281">
        <f t="shared" si="20"/>
        <v>0</v>
      </c>
      <c r="O21" s="281">
        <f t="shared" si="21"/>
        <v>0</v>
      </c>
      <c r="R21" s="295" t="s">
        <v>99</v>
      </c>
      <c r="S21" s="296">
        <v>0.1</v>
      </c>
      <c r="T21" s="199"/>
      <c r="U21" s="339" t="s">
        <v>202</v>
      </c>
      <c r="V21" s="333"/>
      <c r="W21" s="333"/>
      <c r="X21" s="333"/>
      <c r="Y21" s="333"/>
      <c r="Z21" s="333"/>
      <c r="AA21" s="334"/>
      <c r="AG21" s="131"/>
      <c r="AH21" s="147"/>
    </row>
    <row r="22" spans="1:34" x14ac:dyDescent="0.2">
      <c r="A22" s="238" t="str">
        <f t="shared" ref="A22:A23" si="26">A11</f>
        <v>Graduate Students</v>
      </c>
      <c r="B22" s="263">
        <f t="shared" si="16"/>
        <v>0.02</v>
      </c>
      <c r="C22" s="263"/>
      <c r="D22" s="263"/>
      <c r="E22" s="319"/>
      <c r="F22" s="281">
        <f t="shared" ref="F22:N23" si="27">$B22*F11</f>
        <v>0</v>
      </c>
      <c r="G22" s="318"/>
      <c r="H22" s="281">
        <f t="shared" si="17"/>
        <v>0</v>
      </c>
      <c r="I22" s="318"/>
      <c r="J22" s="281">
        <f t="shared" ref="J22" si="28">$B22*J11</f>
        <v>0</v>
      </c>
      <c r="K22" s="319"/>
      <c r="L22" s="281">
        <f t="shared" si="19"/>
        <v>0</v>
      </c>
      <c r="M22" s="319"/>
      <c r="N22" s="281">
        <f t="shared" si="20"/>
        <v>0</v>
      </c>
      <c r="O22" s="281">
        <f t="shared" si="21"/>
        <v>0</v>
      </c>
      <c r="R22" s="199"/>
      <c r="S22" s="199"/>
      <c r="T22" s="199"/>
      <c r="U22" s="335" t="s">
        <v>201</v>
      </c>
      <c r="V22" s="336"/>
      <c r="W22" s="337"/>
      <c r="X22" s="337"/>
      <c r="Y22" s="337"/>
      <c r="Z22" s="336"/>
      <c r="AA22" s="338"/>
    </row>
    <row r="23" spans="1:34" x14ac:dyDescent="0.2">
      <c r="A23" s="238" t="str">
        <f t="shared" si="26"/>
        <v>Undergraduate Students ($hr,  #hr)</v>
      </c>
      <c r="B23" s="263">
        <v>0.1</v>
      </c>
      <c r="C23" s="263"/>
      <c r="D23" s="263"/>
      <c r="E23" s="320"/>
      <c r="F23" s="281">
        <f t="shared" si="27"/>
        <v>0</v>
      </c>
      <c r="G23" s="318"/>
      <c r="H23" s="281">
        <f t="shared" si="27"/>
        <v>0</v>
      </c>
      <c r="I23" s="318"/>
      <c r="J23" s="281">
        <f t="shared" si="27"/>
        <v>0</v>
      </c>
      <c r="K23" s="318"/>
      <c r="L23" s="281">
        <f t="shared" si="27"/>
        <v>0</v>
      </c>
      <c r="M23" s="318"/>
      <c r="N23" s="281">
        <f t="shared" si="27"/>
        <v>0</v>
      </c>
      <c r="O23" s="281">
        <f t="shared" si="21"/>
        <v>0</v>
      </c>
      <c r="R23" s="232" t="s">
        <v>184</v>
      </c>
      <c r="S23" s="219" t="s">
        <v>103</v>
      </c>
      <c r="V23" s="199"/>
      <c r="W23" s="199"/>
      <c r="X23" s="199"/>
      <c r="Y23" s="199"/>
      <c r="Z23" s="199"/>
      <c r="AA23" s="199"/>
      <c r="AG23" s="148"/>
      <c r="AH23" s="131"/>
    </row>
    <row r="24" spans="1:34" ht="13.5" thickBot="1" x14ac:dyDescent="0.25">
      <c r="A24" s="142" t="s">
        <v>2</v>
      </c>
      <c r="B24" s="321"/>
      <c r="C24" s="264"/>
      <c r="D24" s="264"/>
      <c r="E24" s="264"/>
      <c r="F24" s="282">
        <f>SUM(F16:F23)</f>
        <v>0</v>
      </c>
      <c r="G24" s="322"/>
      <c r="H24" s="282">
        <f>SUM(H16:H23)</f>
        <v>0</v>
      </c>
      <c r="I24" s="322"/>
      <c r="J24" s="282">
        <f>SUM(J16:J23)</f>
        <v>0</v>
      </c>
      <c r="K24" s="264"/>
      <c r="L24" s="282">
        <f>SUM(L16:L23)</f>
        <v>0</v>
      </c>
      <c r="M24" s="264"/>
      <c r="N24" s="282">
        <f>SUM(N16:N23)</f>
        <v>0</v>
      </c>
      <c r="O24" s="282">
        <f t="shared" si="21"/>
        <v>0</v>
      </c>
      <c r="R24" s="297"/>
      <c r="S24" s="301"/>
      <c r="T24" s="298"/>
      <c r="U24" s="298"/>
      <c r="V24" s="204"/>
      <c r="W24" s="204"/>
      <c r="X24" s="204"/>
      <c r="Y24" s="204"/>
      <c r="Z24" s="218"/>
      <c r="AA24" s="148"/>
      <c r="AC24" s="148"/>
      <c r="AD24" s="148"/>
      <c r="AE24" s="148"/>
      <c r="AF24" s="148"/>
    </row>
    <row r="25" spans="1:34" x14ac:dyDescent="0.2">
      <c r="A25" s="144" t="s">
        <v>3</v>
      </c>
      <c r="B25" s="273"/>
      <c r="C25" s="265"/>
      <c r="D25" s="265"/>
      <c r="E25" s="265"/>
      <c r="F25" s="283">
        <f>F13+F24</f>
        <v>0</v>
      </c>
      <c r="G25" s="323"/>
      <c r="H25" s="283">
        <f>H13+H24</f>
        <v>0</v>
      </c>
      <c r="I25" s="323"/>
      <c r="J25" s="283">
        <f>J13+J24</f>
        <v>0</v>
      </c>
      <c r="K25" s="265"/>
      <c r="L25" s="283">
        <f>L13+L24</f>
        <v>0</v>
      </c>
      <c r="M25" s="265"/>
      <c r="N25" s="283">
        <f>N13+N24</f>
        <v>0</v>
      </c>
      <c r="O25" s="283">
        <f t="shared" si="21"/>
        <v>0</v>
      </c>
      <c r="P25" s="192">
        <f>SUM(O13,O24)</f>
        <v>0</v>
      </c>
      <c r="R25" s="298" t="s">
        <v>134</v>
      </c>
      <c r="S25" s="297" t="s">
        <v>187</v>
      </c>
      <c r="T25" s="298" t="s">
        <v>135</v>
      </c>
      <c r="U25" s="298" t="s">
        <v>136</v>
      </c>
      <c r="V25" s="204" t="s">
        <v>137</v>
      </c>
      <c r="W25" s="204" t="s">
        <v>94</v>
      </c>
      <c r="X25" s="204" t="s">
        <v>11</v>
      </c>
      <c r="Y25" s="204" t="s">
        <v>138</v>
      </c>
      <c r="Z25" s="204" t="s">
        <v>188</v>
      </c>
      <c r="AA25" s="148"/>
      <c r="AB25" s="148"/>
      <c r="AC25" s="148"/>
      <c r="AD25" s="148"/>
      <c r="AE25" s="148"/>
      <c r="AF25" s="148"/>
    </row>
    <row r="26" spans="1:34" x14ac:dyDescent="0.2">
      <c r="A26" s="138"/>
      <c r="B26" s="139"/>
      <c r="C26" s="261"/>
      <c r="D26" s="261"/>
      <c r="E26" s="139"/>
      <c r="F26" s="279"/>
      <c r="G26" s="140"/>
      <c r="H26" s="279"/>
      <c r="I26" s="140"/>
      <c r="J26" s="279"/>
      <c r="K26" s="139"/>
      <c r="L26" s="279"/>
      <c r="M26" s="139"/>
      <c r="N26" s="279"/>
      <c r="O26" s="279"/>
      <c r="Q26" s="137"/>
      <c r="R26" s="298" t="s">
        <v>139</v>
      </c>
      <c r="S26" s="219" t="s">
        <v>104</v>
      </c>
      <c r="T26" s="298"/>
      <c r="U26" s="298"/>
      <c r="V26" s="204"/>
      <c r="W26" s="203">
        <f>IF(S26="y",IF($S$23="Y",$V$15, $V$16), 0)</f>
        <v>0</v>
      </c>
      <c r="X26" s="203">
        <f>IF(S26="Y",$V$19,0)</f>
        <v>0</v>
      </c>
      <c r="Y26" s="203">
        <f>IF(S26="Y",Y15,0)</f>
        <v>0</v>
      </c>
      <c r="Z26" s="203">
        <f>IF(S26="Y",(W26),0)</f>
        <v>0</v>
      </c>
      <c r="AA26" s="148"/>
      <c r="AB26" s="148"/>
      <c r="AC26" s="148"/>
      <c r="AD26" s="148"/>
      <c r="AE26" s="148"/>
      <c r="AF26" s="148"/>
      <c r="AG26" s="148"/>
    </row>
    <row r="27" spans="1:34" x14ac:dyDescent="0.2">
      <c r="A27" s="128" t="s">
        <v>22</v>
      </c>
      <c r="B27" s="129"/>
      <c r="C27" s="266"/>
      <c r="D27" s="266"/>
      <c r="E27" s="129"/>
      <c r="F27" s="280"/>
      <c r="G27" s="130"/>
      <c r="H27" s="280"/>
      <c r="I27" s="130"/>
      <c r="J27" s="280"/>
      <c r="K27" s="129"/>
      <c r="L27" s="280"/>
      <c r="M27" s="129"/>
      <c r="N27" s="280"/>
      <c r="O27" s="280"/>
      <c r="R27" s="298" t="s">
        <v>140</v>
      </c>
      <c r="S27" s="219" t="s">
        <v>104</v>
      </c>
      <c r="T27" s="298"/>
      <c r="U27" s="298"/>
      <c r="V27" s="204"/>
      <c r="W27" s="203">
        <f t="shared" ref="W27:W28" si="29">IF(S27="y",IF($S$23="Y",$V$15, $V$16), 0)</f>
        <v>0</v>
      </c>
      <c r="X27" s="203">
        <f t="shared" ref="X27:X28" si="30">IF(S27="Y",$V$19,0)</f>
        <v>0</v>
      </c>
      <c r="Y27" s="203">
        <f>IF(S27="Y",Y16,0)</f>
        <v>0</v>
      </c>
      <c r="Z27" s="203">
        <f>IF(S27="Y",(W27),0)</f>
        <v>0</v>
      </c>
      <c r="AA27" s="148"/>
      <c r="AB27" s="148"/>
      <c r="AC27" s="148"/>
      <c r="AD27" s="148"/>
      <c r="AE27" s="148"/>
      <c r="AF27" s="148"/>
      <c r="AG27" s="148"/>
    </row>
    <row r="28" spans="1:34" s="131" customFormat="1" x14ac:dyDescent="0.2">
      <c r="A28" s="311"/>
      <c r="B28" s="312">
        <v>0</v>
      </c>
      <c r="C28" s="267"/>
      <c r="D28" s="267"/>
      <c r="E28" s="312"/>
      <c r="F28" s="284">
        <v>0</v>
      </c>
      <c r="G28" s="315"/>
      <c r="H28" s="284">
        <v>0</v>
      </c>
      <c r="I28" s="315"/>
      <c r="J28" s="284">
        <v>0</v>
      </c>
      <c r="K28" s="312"/>
      <c r="L28" s="284">
        <v>0</v>
      </c>
      <c r="M28" s="312"/>
      <c r="N28" s="284">
        <v>0</v>
      </c>
      <c r="O28" s="284">
        <f t="shared" si="21"/>
        <v>0</v>
      </c>
      <c r="P28" s="190"/>
      <c r="R28" s="298" t="s">
        <v>141</v>
      </c>
      <c r="S28" s="219" t="s">
        <v>104</v>
      </c>
      <c r="T28" s="298"/>
      <c r="U28" s="298"/>
      <c r="V28" s="204"/>
      <c r="W28" s="203">
        <f t="shared" si="29"/>
        <v>0</v>
      </c>
      <c r="X28" s="203">
        <f t="shared" si="30"/>
        <v>0</v>
      </c>
      <c r="Y28" s="203">
        <f>IF(S28="Y",Y17,0)</f>
        <v>0</v>
      </c>
      <c r="Z28" s="203">
        <f>IF(S28="Y",(W28),0)</f>
        <v>0</v>
      </c>
      <c r="AA28" s="148"/>
      <c r="AB28" s="148"/>
      <c r="AC28" s="148"/>
      <c r="AD28" s="148"/>
      <c r="AE28" s="148"/>
      <c r="AF28" s="148"/>
      <c r="AG28" s="148"/>
    </row>
    <row r="29" spans="1:34" s="147" customFormat="1" ht="13.5" thickBot="1" x14ac:dyDescent="0.25">
      <c r="A29" s="311"/>
      <c r="B29" s="312">
        <v>0</v>
      </c>
      <c r="C29" s="267"/>
      <c r="D29" s="267"/>
      <c r="E29" s="312"/>
      <c r="F29" s="284">
        <v>0</v>
      </c>
      <c r="G29" s="315"/>
      <c r="H29" s="284">
        <v>0</v>
      </c>
      <c r="I29" s="315"/>
      <c r="J29" s="284">
        <v>0</v>
      </c>
      <c r="K29" s="312"/>
      <c r="L29" s="284">
        <v>0</v>
      </c>
      <c r="M29" s="312"/>
      <c r="N29" s="284">
        <v>0</v>
      </c>
      <c r="O29" s="284">
        <f t="shared" si="21"/>
        <v>0</v>
      </c>
      <c r="P29" s="193"/>
      <c r="R29" s="299" t="s">
        <v>133</v>
      </c>
      <c r="S29" s="222" t="s">
        <v>104</v>
      </c>
      <c r="T29" s="222">
        <v>10</v>
      </c>
      <c r="U29" s="222">
        <v>40</v>
      </c>
      <c r="V29" s="324">
        <v>18.48</v>
      </c>
      <c r="W29" s="223">
        <f>IF(S29="Y",(V29*T29*U29),0)</f>
        <v>0</v>
      </c>
      <c r="X29" s="223"/>
      <c r="Y29" s="203">
        <f>IF(S29="Y",Y18,0)</f>
        <v>0</v>
      </c>
      <c r="Z29" s="223">
        <f>IF(S29="Y",(V29*T29*U29),0)</f>
        <v>0</v>
      </c>
      <c r="AA29" s="148"/>
      <c r="AB29" s="148"/>
      <c r="AC29" s="148"/>
      <c r="AD29" s="148"/>
      <c r="AE29" s="148"/>
      <c r="AF29" s="148"/>
      <c r="AG29" s="148"/>
    </row>
    <row r="30" spans="1:34" s="147" customFormat="1" ht="14.25" thickTop="1" thickBot="1" x14ac:dyDescent="0.25">
      <c r="A30" s="313"/>
      <c r="B30" s="314">
        <v>0</v>
      </c>
      <c r="C30" s="268"/>
      <c r="D30" s="268"/>
      <c r="E30" s="314"/>
      <c r="F30" s="285">
        <v>0</v>
      </c>
      <c r="G30" s="316"/>
      <c r="H30" s="285">
        <v>0</v>
      </c>
      <c r="I30" s="316"/>
      <c r="J30" s="285">
        <v>0</v>
      </c>
      <c r="K30" s="314"/>
      <c r="L30" s="285">
        <v>0</v>
      </c>
      <c r="M30" s="314"/>
      <c r="N30" s="285">
        <v>0</v>
      </c>
      <c r="O30" s="285">
        <f t="shared" si="21"/>
        <v>0</v>
      </c>
      <c r="P30" s="193"/>
      <c r="R30" s="300" t="s">
        <v>142</v>
      </c>
      <c r="S30" s="220" t="s">
        <v>104</v>
      </c>
      <c r="T30" s="212"/>
      <c r="U30" s="212"/>
      <c r="V30" s="325"/>
      <c r="W30" s="221">
        <f>IF(S30="Y",IF($S$23="Y",3*$V$15, 3*$V$16), 0)</f>
        <v>0</v>
      </c>
      <c r="X30" s="203">
        <f>IF(S30="Y",3*$V$19,0)</f>
        <v>0</v>
      </c>
      <c r="Y30" s="221">
        <f>IF(S30="y",SUM(Y$15:Y$17),0)</f>
        <v>0</v>
      </c>
      <c r="Z30" s="203">
        <f>IF(S30="Y",3*W26,0)</f>
        <v>0</v>
      </c>
      <c r="AA30" s="141"/>
      <c r="AB30" s="141"/>
      <c r="AC30" s="141"/>
      <c r="AD30" s="141"/>
      <c r="AE30" s="141"/>
      <c r="AF30" s="131"/>
      <c r="AG30" s="148"/>
    </row>
    <row r="31" spans="1:34" s="147" customFormat="1" ht="13.5" thickBot="1" x14ac:dyDescent="0.25">
      <c r="A31" s="144" t="s">
        <v>10</v>
      </c>
      <c r="B31" s="144"/>
      <c r="C31" s="269"/>
      <c r="D31" s="269"/>
      <c r="E31" s="269"/>
      <c r="F31" s="283">
        <f>SUM(F28:F30)</f>
        <v>0</v>
      </c>
      <c r="G31" s="251"/>
      <c r="H31" s="283">
        <f t="shared" ref="H31:N31" si="31">SUM(H28:H30)</f>
        <v>0</v>
      </c>
      <c r="I31" s="251"/>
      <c r="J31" s="283">
        <f t="shared" ref="J31:L31" si="32">SUM(J28:J30)</f>
        <v>0</v>
      </c>
      <c r="K31" s="252"/>
      <c r="L31" s="283">
        <f t="shared" si="32"/>
        <v>0</v>
      </c>
      <c r="M31" s="252"/>
      <c r="N31" s="283">
        <f t="shared" si="31"/>
        <v>0</v>
      </c>
      <c r="O31" s="283">
        <f t="shared" si="21"/>
        <v>0</v>
      </c>
      <c r="P31" s="194">
        <f>SUM(O28:O30)</f>
        <v>0</v>
      </c>
      <c r="R31" s="298" t="s">
        <v>143</v>
      </c>
      <c r="S31" s="219" t="s">
        <v>104</v>
      </c>
      <c r="T31" s="219">
        <v>13</v>
      </c>
      <c r="U31" s="219">
        <v>20</v>
      </c>
      <c r="V31" s="326">
        <v>18.48</v>
      </c>
      <c r="W31" s="203">
        <f>IF(S31="Y",IF($S$23="Y",3*$V$15+(T31*U31*V31), 3*$V$16+(T31*U31*V31)), 0)</f>
        <v>0</v>
      </c>
      <c r="X31" s="203">
        <f>IF(S31="Y",3*$V$19,0)</f>
        <v>0</v>
      </c>
      <c r="Y31" s="203">
        <f>IF(S31="y",$Y$19,0)</f>
        <v>0</v>
      </c>
      <c r="Z31" s="223">
        <f>IF(S31="Y",(V31*T31*U31)+W31,0)</f>
        <v>0</v>
      </c>
      <c r="AA31" s="133"/>
      <c r="AB31" s="133"/>
      <c r="AC31" s="133"/>
      <c r="AD31" s="133"/>
      <c r="AE31" s="133"/>
      <c r="AF31" s="133"/>
      <c r="AG31" s="148"/>
    </row>
    <row r="32" spans="1:34" s="147" customFormat="1" ht="14.25" thickTop="1" thickBot="1" x14ac:dyDescent="0.25">
      <c r="A32" s="138"/>
      <c r="B32" s="139"/>
      <c r="C32" s="261"/>
      <c r="D32" s="261"/>
      <c r="E32" s="139"/>
      <c r="F32" s="279"/>
      <c r="G32" s="140"/>
      <c r="H32" s="286"/>
      <c r="I32" s="140"/>
      <c r="J32" s="279"/>
      <c r="K32" s="139"/>
      <c r="L32" s="279"/>
      <c r="M32" s="139"/>
      <c r="N32" s="279"/>
      <c r="O32" s="279"/>
      <c r="Q32" s="149"/>
      <c r="R32" s="298" t="s">
        <v>177</v>
      </c>
      <c r="S32" s="219" t="s">
        <v>104</v>
      </c>
      <c r="T32" s="219">
        <v>13</v>
      </c>
      <c r="U32" s="219">
        <v>40</v>
      </c>
      <c r="V32" s="326">
        <v>18.48</v>
      </c>
      <c r="W32" s="203">
        <f>IF(S32="Y",IF($S$23="Y",3*$V$15+(T32*U32*V32), 3*$V$16+(T32*U32*V32)), 0)</f>
        <v>0</v>
      </c>
      <c r="X32" s="203">
        <f>IF(S32="Y",3*$V$19,0)</f>
        <v>0</v>
      </c>
      <c r="Y32" s="203">
        <f>IF(S32="y",$Y$19,0)</f>
        <v>0</v>
      </c>
      <c r="Z32" s="223">
        <f>IF(S32="Y",(V32*T32*U32)+W32,0)</f>
        <v>0</v>
      </c>
      <c r="AA32" s="133"/>
      <c r="AB32" s="133"/>
      <c r="AC32" s="133"/>
      <c r="AD32" s="133"/>
      <c r="AE32" s="133"/>
      <c r="AF32" s="133"/>
      <c r="AG32" s="148"/>
    </row>
    <row r="33" spans="1:34" ht="13.5" thickTop="1" x14ac:dyDescent="0.2">
      <c r="A33" s="128" t="s">
        <v>13</v>
      </c>
      <c r="B33" s="129"/>
      <c r="C33" s="266"/>
      <c r="D33" s="266"/>
      <c r="E33" s="129"/>
      <c r="F33" s="280"/>
      <c r="G33" s="130"/>
      <c r="H33" s="280"/>
      <c r="I33" s="130"/>
      <c r="J33" s="280"/>
      <c r="K33" s="129"/>
      <c r="L33" s="280"/>
      <c r="M33" s="129"/>
      <c r="N33" s="280"/>
      <c r="O33" s="280"/>
      <c r="AH33" s="148"/>
    </row>
    <row r="34" spans="1:34" s="131" customFormat="1" x14ac:dyDescent="0.2">
      <c r="A34" s="150" t="s">
        <v>14</v>
      </c>
      <c r="B34" s="151"/>
      <c r="C34" s="270"/>
      <c r="D34" s="270"/>
      <c r="E34" s="250"/>
      <c r="F34" s="277">
        <v>0</v>
      </c>
      <c r="G34" s="241"/>
      <c r="H34" s="277">
        <v>0</v>
      </c>
      <c r="I34" s="241"/>
      <c r="J34" s="277">
        <v>0</v>
      </c>
      <c r="K34" s="250"/>
      <c r="L34" s="277">
        <v>0</v>
      </c>
      <c r="M34" s="250"/>
      <c r="N34" s="277">
        <v>0</v>
      </c>
      <c r="O34" s="277">
        <f t="shared" si="21"/>
        <v>0</v>
      </c>
      <c r="P34" s="190"/>
      <c r="R34" s="133"/>
      <c r="S34" s="133"/>
      <c r="T34" s="133"/>
      <c r="U34" s="133"/>
      <c r="V34" s="133"/>
      <c r="W34" s="133"/>
      <c r="X34" s="133"/>
      <c r="Z34" s="133"/>
      <c r="AA34" s="133"/>
      <c r="AB34" s="133"/>
      <c r="AC34" s="133"/>
      <c r="AD34" s="133"/>
      <c r="AE34" s="133"/>
      <c r="AF34" s="133"/>
      <c r="AG34" s="133"/>
      <c r="AH34" s="148"/>
    </row>
    <row r="35" spans="1:34" ht="13.5" thickBot="1" x14ac:dyDescent="0.25">
      <c r="A35" s="152" t="s">
        <v>15</v>
      </c>
      <c r="B35" s="143"/>
      <c r="C35" s="264"/>
      <c r="D35" s="264"/>
      <c r="E35" s="249"/>
      <c r="F35" s="282">
        <v>0</v>
      </c>
      <c r="G35" s="242"/>
      <c r="H35" s="282">
        <v>0</v>
      </c>
      <c r="I35" s="242"/>
      <c r="J35" s="282">
        <v>0</v>
      </c>
      <c r="K35" s="249"/>
      <c r="L35" s="282">
        <v>0</v>
      </c>
      <c r="M35" s="249"/>
      <c r="N35" s="282">
        <v>0</v>
      </c>
      <c r="O35" s="282">
        <f t="shared" si="21"/>
        <v>0</v>
      </c>
      <c r="S35" s="131"/>
      <c r="V35" s="131"/>
      <c r="W35" s="131"/>
      <c r="X35" s="131"/>
      <c r="Z35" s="131"/>
      <c r="AA35" s="131"/>
      <c r="AH35" s="131"/>
    </row>
    <row r="36" spans="1:34" x14ac:dyDescent="0.2">
      <c r="A36" s="153" t="s">
        <v>4</v>
      </c>
      <c r="B36" s="154"/>
      <c r="C36" s="265"/>
      <c r="D36" s="265"/>
      <c r="E36" s="253"/>
      <c r="F36" s="283">
        <f>SUM(F34:F35)</f>
        <v>0</v>
      </c>
      <c r="G36" s="251"/>
      <c r="H36" s="283">
        <f>SUM(H34:H35)</f>
        <v>0</v>
      </c>
      <c r="I36" s="251"/>
      <c r="J36" s="283">
        <f t="shared" ref="J36:L36" si="33">SUM(J34:J35)</f>
        <v>0</v>
      </c>
      <c r="K36" s="253"/>
      <c r="L36" s="283">
        <f t="shared" si="33"/>
        <v>0</v>
      </c>
      <c r="M36" s="253"/>
      <c r="N36" s="283">
        <f t="shared" ref="N36" si="34">SUM(N34:N35)</f>
        <v>0</v>
      </c>
      <c r="O36" s="283">
        <f t="shared" si="21"/>
        <v>0</v>
      </c>
      <c r="P36" s="195">
        <f>SUM(O34:O35)</f>
        <v>0</v>
      </c>
      <c r="S36" s="131"/>
      <c r="V36" s="131"/>
      <c r="W36" s="131"/>
      <c r="X36" s="131"/>
      <c r="Z36" s="131"/>
      <c r="AA36" s="131"/>
    </row>
    <row r="37" spans="1:34" s="148" customFormat="1" x14ac:dyDescent="0.2">
      <c r="A37" s="156"/>
      <c r="B37" s="157"/>
      <c r="C37" s="271"/>
      <c r="D37" s="271"/>
      <c r="E37" s="157"/>
      <c r="F37" s="286"/>
      <c r="G37" s="158"/>
      <c r="H37" s="286"/>
      <c r="I37" s="158"/>
      <c r="J37" s="286"/>
      <c r="K37" s="157"/>
      <c r="L37" s="286"/>
      <c r="M37" s="157"/>
      <c r="N37" s="286"/>
      <c r="O37" s="286"/>
      <c r="Q37" s="155"/>
      <c r="R37" s="131"/>
      <c r="S37" s="131"/>
      <c r="T37" s="133"/>
      <c r="U37" s="133"/>
      <c r="V37" s="131"/>
      <c r="W37" s="131"/>
      <c r="X37" s="131"/>
      <c r="Z37" s="131"/>
      <c r="AA37" s="131"/>
      <c r="AB37" s="131"/>
      <c r="AC37" s="131"/>
      <c r="AD37" s="131"/>
      <c r="AE37" s="131"/>
      <c r="AF37" s="131"/>
      <c r="AG37" s="133"/>
      <c r="AH37" s="133"/>
    </row>
    <row r="38" spans="1:34" s="148" customFormat="1" x14ac:dyDescent="0.2">
      <c r="A38" s="128" t="s">
        <v>23</v>
      </c>
      <c r="B38" s="129"/>
      <c r="C38" s="266"/>
      <c r="D38" s="266"/>
      <c r="E38" s="129"/>
      <c r="F38" s="280"/>
      <c r="G38" s="130"/>
      <c r="H38" s="280"/>
      <c r="I38" s="130"/>
      <c r="J38" s="280"/>
      <c r="K38" s="129"/>
      <c r="L38" s="280"/>
      <c r="M38" s="129"/>
      <c r="N38" s="280"/>
      <c r="O38" s="280"/>
      <c r="P38" s="196"/>
      <c r="R38" s="133"/>
      <c r="S38" s="133"/>
      <c r="T38" s="133"/>
      <c r="U38" s="133"/>
      <c r="V38" s="133"/>
      <c r="W38" s="133"/>
      <c r="X38" s="133"/>
      <c r="Z38" s="133"/>
      <c r="AA38" s="133"/>
      <c r="AB38" s="131"/>
      <c r="AC38" s="131"/>
      <c r="AD38" s="131"/>
      <c r="AE38" s="131"/>
      <c r="AF38" s="131"/>
      <c r="AG38" s="133"/>
      <c r="AH38" s="133"/>
    </row>
    <row r="39" spans="1:34" s="148" customFormat="1" x14ac:dyDescent="0.2">
      <c r="A39" s="159" t="s">
        <v>28</v>
      </c>
      <c r="B39" s="160"/>
      <c r="C39" s="264"/>
      <c r="D39" s="264"/>
      <c r="E39" s="160"/>
      <c r="F39" s="287"/>
      <c r="G39" s="161"/>
      <c r="H39" s="287"/>
      <c r="I39" s="161"/>
      <c r="J39" s="287"/>
      <c r="K39" s="160"/>
      <c r="L39" s="287"/>
      <c r="M39" s="160"/>
      <c r="N39" s="287"/>
      <c r="O39" s="287">
        <f t="shared" si="21"/>
        <v>0</v>
      </c>
      <c r="P39" s="196"/>
      <c r="R39" s="133"/>
      <c r="S39" s="133"/>
      <c r="T39" s="133"/>
      <c r="U39" s="133"/>
      <c r="V39" s="133"/>
      <c r="W39" s="133"/>
      <c r="X39" s="133"/>
      <c r="Z39" s="133"/>
      <c r="AA39" s="133"/>
      <c r="AB39" s="131"/>
      <c r="AC39" s="131"/>
      <c r="AD39" s="131"/>
      <c r="AE39" s="131"/>
      <c r="AF39" s="131"/>
      <c r="AG39" s="131"/>
      <c r="AH39" s="133"/>
    </row>
    <row r="40" spans="1:34" s="148" customFormat="1" x14ac:dyDescent="0.2">
      <c r="A40" s="150" t="s">
        <v>9</v>
      </c>
      <c r="B40" s="151"/>
      <c r="C40" s="270"/>
      <c r="D40" s="270"/>
      <c r="E40" s="254"/>
      <c r="F40" s="277"/>
      <c r="G40" s="256"/>
      <c r="H40" s="277"/>
      <c r="I40" s="256"/>
      <c r="J40" s="277"/>
      <c r="K40" s="254"/>
      <c r="L40" s="277"/>
      <c r="M40" s="254"/>
      <c r="N40" s="277"/>
      <c r="O40" s="277">
        <f t="shared" si="21"/>
        <v>0</v>
      </c>
      <c r="P40" s="196"/>
      <c r="R40" s="133"/>
      <c r="S40" s="133"/>
      <c r="T40" s="133"/>
      <c r="U40" s="133"/>
      <c r="V40" s="133"/>
      <c r="W40" s="133"/>
      <c r="X40" s="133"/>
      <c r="Z40" s="133"/>
      <c r="AA40" s="133"/>
      <c r="AB40" s="133"/>
      <c r="AC40" s="133"/>
      <c r="AD40" s="133"/>
      <c r="AE40" s="133"/>
      <c r="AF40" s="133"/>
      <c r="AG40" s="131"/>
      <c r="AH40" s="133"/>
    </row>
    <row r="41" spans="1:34" s="148" customFormat="1" x14ac:dyDescent="0.2">
      <c r="A41" s="150" t="s">
        <v>13</v>
      </c>
      <c r="B41" s="151"/>
      <c r="C41" s="270"/>
      <c r="D41" s="270"/>
      <c r="E41" s="254"/>
      <c r="F41" s="277"/>
      <c r="G41" s="256"/>
      <c r="H41" s="277"/>
      <c r="I41" s="256"/>
      <c r="J41" s="277"/>
      <c r="K41" s="254"/>
      <c r="L41" s="277"/>
      <c r="M41" s="254"/>
      <c r="N41" s="277"/>
      <c r="O41" s="277">
        <f t="shared" si="21"/>
        <v>0</v>
      </c>
      <c r="P41" s="196"/>
      <c r="R41" s="133"/>
      <c r="S41" s="133"/>
      <c r="T41" s="133"/>
      <c r="U41" s="133"/>
      <c r="V41" s="133"/>
      <c r="W41" s="133"/>
      <c r="X41" s="133"/>
      <c r="Z41" s="133"/>
      <c r="AA41" s="133"/>
      <c r="AB41" s="133"/>
      <c r="AC41" s="133"/>
      <c r="AD41" s="133"/>
      <c r="AE41" s="133"/>
      <c r="AF41" s="133"/>
      <c r="AG41" s="131"/>
      <c r="AH41" s="133"/>
    </row>
    <row r="42" spans="1:34" s="148" customFormat="1" x14ac:dyDescent="0.2">
      <c r="A42" s="150" t="s">
        <v>16</v>
      </c>
      <c r="B42" s="151"/>
      <c r="C42" s="270"/>
      <c r="D42" s="270"/>
      <c r="E42" s="254"/>
      <c r="F42" s="277"/>
      <c r="G42" s="256"/>
      <c r="H42" s="277"/>
      <c r="I42" s="256"/>
      <c r="J42" s="277"/>
      <c r="K42" s="254"/>
      <c r="L42" s="277"/>
      <c r="M42" s="254"/>
      <c r="N42" s="277"/>
      <c r="O42" s="277">
        <f t="shared" si="21"/>
        <v>0</v>
      </c>
      <c r="P42" s="196"/>
      <c r="R42" s="133"/>
      <c r="S42" s="133"/>
      <c r="T42" s="133"/>
      <c r="U42" s="133"/>
      <c r="V42" s="133"/>
      <c r="W42" s="133"/>
      <c r="X42" s="133"/>
      <c r="Z42" s="133"/>
      <c r="AA42" s="133"/>
      <c r="AB42" s="133"/>
      <c r="AC42" s="133"/>
      <c r="AD42" s="133"/>
      <c r="AE42" s="133"/>
      <c r="AF42" s="133"/>
      <c r="AG42" s="133"/>
      <c r="AH42" s="133"/>
    </row>
    <row r="43" spans="1:34" s="148" customFormat="1" ht="13.5" thickBot="1" x14ac:dyDescent="0.25">
      <c r="A43" s="150" t="s">
        <v>17</v>
      </c>
      <c r="B43" s="151"/>
      <c r="C43" s="270"/>
      <c r="D43" s="270"/>
      <c r="E43" s="254"/>
      <c r="F43" s="277"/>
      <c r="G43" s="256"/>
      <c r="H43" s="277"/>
      <c r="I43" s="256"/>
      <c r="J43" s="277"/>
      <c r="K43" s="254"/>
      <c r="L43" s="277"/>
      <c r="M43" s="254"/>
      <c r="N43" s="277"/>
      <c r="O43" s="277">
        <f t="shared" si="21"/>
        <v>0</v>
      </c>
      <c r="P43" s="196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</row>
    <row r="44" spans="1:34" s="148" customFormat="1" ht="12" customHeight="1" x14ac:dyDescent="0.2">
      <c r="A44" s="144" t="s">
        <v>8</v>
      </c>
      <c r="B44" s="145"/>
      <c r="C44" s="265"/>
      <c r="D44" s="265"/>
      <c r="E44" s="145"/>
      <c r="F44" s="283">
        <f>SUM(F40:F43)</f>
        <v>0</v>
      </c>
      <c r="G44" s="146"/>
      <c r="H44" s="283">
        <f t="shared" ref="H44:N44" si="35">SUM(H40:H43)</f>
        <v>0</v>
      </c>
      <c r="I44" s="146"/>
      <c r="J44" s="283">
        <f t="shared" si="35"/>
        <v>0</v>
      </c>
      <c r="K44" s="145"/>
      <c r="L44" s="283">
        <f t="shared" si="35"/>
        <v>0</v>
      </c>
      <c r="M44" s="145"/>
      <c r="N44" s="283">
        <f t="shared" si="35"/>
        <v>0</v>
      </c>
      <c r="O44" s="283">
        <f t="shared" si="21"/>
        <v>0</v>
      </c>
      <c r="P44" s="196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1"/>
    </row>
    <row r="45" spans="1:34" s="148" customFormat="1" ht="12" customHeight="1" x14ac:dyDescent="0.2">
      <c r="A45" s="138"/>
      <c r="B45" s="139"/>
      <c r="C45" s="261"/>
      <c r="D45" s="261"/>
      <c r="E45" s="139"/>
      <c r="F45" s="279"/>
      <c r="G45" s="140"/>
      <c r="H45" s="279"/>
      <c r="I45" s="140"/>
      <c r="J45" s="279"/>
      <c r="K45" s="139"/>
      <c r="L45" s="279"/>
      <c r="M45" s="139"/>
      <c r="N45" s="279"/>
      <c r="O45" s="279"/>
      <c r="P45" s="195">
        <f>SUM(O40:O43)</f>
        <v>0</v>
      </c>
      <c r="Q45" s="155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1"/>
    </row>
    <row r="46" spans="1:34" s="148" customFormat="1" x14ac:dyDescent="0.2">
      <c r="A46" s="128" t="s">
        <v>17</v>
      </c>
      <c r="B46" s="129"/>
      <c r="C46" s="266"/>
      <c r="D46" s="266"/>
      <c r="E46" s="129"/>
      <c r="F46" s="280"/>
      <c r="G46" s="130"/>
      <c r="H46" s="280"/>
      <c r="I46" s="130"/>
      <c r="J46" s="280"/>
      <c r="K46" s="129"/>
      <c r="L46" s="280"/>
      <c r="M46" s="129"/>
      <c r="N46" s="280"/>
      <c r="O46" s="280"/>
      <c r="P46" s="19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1"/>
    </row>
    <row r="47" spans="1:34" x14ac:dyDescent="0.2">
      <c r="A47" s="150" t="s">
        <v>5</v>
      </c>
      <c r="B47" s="151"/>
      <c r="C47" s="270"/>
      <c r="D47" s="270"/>
      <c r="E47" s="254"/>
      <c r="F47" s="277">
        <v>0</v>
      </c>
      <c r="G47" s="256"/>
      <c r="H47" s="277">
        <v>0</v>
      </c>
      <c r="I47" s="256"/>
      <c r="J47" s="277">
        <v>0</v>
      </c>
      <c r="K47" s="254"/>
      <c r="L47" s="277">
        <v>0</v>
      </c>
      <c r="M47" s="254"/>
      <c r="N47" s="277">
        <v>0</v>
      </c>
      <c r="O47" s="277">
        <f t="shared" si="21"/>
        <v>0</v>
      </c>
    </row>
    <row r="48" spans="1:34" s="131" customFormat="1" x14ac:dyDescent="0.2">
      <c r="A48" s="150" t="s">
        <v>6</v>
      </c>
      <c r="B48" s="151"/>
      <c r="C48" s="270"/>
      <c r="D48" s="270"/>
      <c r="E48" s="254"/>
      <c r="F48" s="277">
        <v>0</v>
      </c>
      <c r="G48" s="256"/>
      <c r="H48" s="277">
        <v>0</v>
      </c>
      <c r="I48" s="256"/>
      <c r="J48" s="277">
        <v>0</v>
      </c>
      <c r="K48" s="254"/>
      <c r="L48" s="277">
        <v>0</v>
      </c>
      <c r="M48" s="254"/>
      <c r="N48" s="277">
        <v>0</v>
      </c>
      <c r="O48" s="277">
        <f t="shared" si="21"/>
        <v>0</v>
      </c>
      <c r="P48" s="190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</row>
    <row r="49" spans="1:34" x14ac:dyDescent="0.2">
      <c r="A49" s="150" t="s">
        <v>18</v>
      </c>
      <c r="B49" s="151"/>
      <c r="C49" s="270"/>
      <c r="D49" s="270"/>
      <c r="E49" s="254"/>
      <c r="F49" s="277">
        <v>0</v>
      </c>
      <c r="G49" s="256"/>
      <c r="H49" s="277">
        <v>0</v>
      </c>
      <c r="I49" s="256"/>
      <c r="J49" s="277">
        <v>0</v>
      </c>
      <c r="K49" s="254"/>
      <c r="L49" s="277">
        <v>0</v>
      </c>
      <c r="M49" s="254"/>
      <c r="N49" s="277">
        <v>0</v>
      </c>
      <c r="O49" s="277">
        <f t="shared" si="21"/>
        <v>0</v>
      </c>
    </row>
    <row r="50" spans="1:34" x14ac:dyDescent="0.2">
      <c r="A50" s="150" t="s">
        <v>19</v>
      </c>
      <c r="B50" s="151"/>
      <c r="C50" s="270"/>
      <c r="D50" s="270"/>
      <c r="E50" s="254"/>
      <c r="F50" s="277">
        <v>0</v>
      </c>
      <c r="G50" s="256"/>
      <c r="H50" s="277">
        <v>0</v>
      </c>
      <c r="I50" s="256"/>
      <c r="J50" s="277">
        <v>0</v>
      </c>
      <c r="K50" s="254"/>
      <c r="L50" s="277">
        <v>0</v>
      </c>
      <c r="M50" s="254"/>
      <c r="N50" s="277">
        <v>0</v>
      </c>
      <c r="O50" s="277">
        <f t="shared" si="21"/>
        <v>0</v>
      </c>
    </row>
    <row r="51" spans="1:34" x14ac:dyDescent="0.2">
      <c r="A51" s="150" t="s">
        <v>11</v>
      </c>
      <c r="B51" s="117">
        <f>SUM(X26:X32)</f>
        <v>0</v>
      </c>
      <c r="C51" s="272"/>
      <c r="D51" s="272"/>
      <c r="E51" s="119">
        <v>0</v>
      </c>
      <c r="F51" s="277">
        <f>$B$51*$E$51*1.02</f>
        <v>0</v>
      </c>
      <c r="G51" s="119"/>
      <c r="H51" s="277">
        <f>$B$51*$G$51*1.02^2</f>
        <v>0</v>
      </c>
      <c r="I51" s="119"/>
      <c r="J51" s="277">
        <f>$B$51*$I$51*1.02^3</f>
        <v>0</v>
      </c>
      <c r="K51" s="119">
        <v>0</v>
      </c>
      <c r="L51" s="277">
        <f>$B$51*$K$51*1.02^4</f>
        <v>0</v>
      </c>
      <c r="M51" s="119">
        <v>0</v>
      </c>
      <c r="N51" s="277">
        <f>$B$51*$M$51*1.02^5</f>
        <v>0</v>
      </c>
      <c r="O51" s="277">
        <f t="shared" si="21"/>
        <v>0</v>
      </c>
    </row>
    <row r="52" spans="1:34" ht="13.5" thickBot="1" x14ac:dyDescent="0.25">
      <c r="A52" s="162" t="s">
        <v>17</v>
      </c>
      <c r="B52" s="143"/>
      <c r="C52" s="264"/>
      <c r="D52" s="264"/>
      <c r="E52" s="255"/>
      <c r="F52" s="282">
        <v>0</v>
      </c>
      <c r="G52" s="257"/>
      <c r="H52" s="282">
        <v>0</v>
      </c>
      <c r="I52" s="257"/>
      <c r="J52" s="282">
        <v>0</v>
      </c>
      <c r="K52" s="255"/>
      <c r="L52" s="282">
        <v>0</v>
      </c>
      <c r="M52" s="255"/>
      <c r="N52" s="282">
        <v>0</v>
      </c>
      <c r="O52" s="282">
        <f t="shared" si="21"/>
        <v>0</v>
      </c>
    </row>
    <row r="53" spans="1:34" x14ac:dyDescent="0.2">
      <c r="A53" s="144" t="s">
        <v>7</v>
      </c>
      <c r="B53" s="145"/>
      <c r="C53" s="273"/>
      <c r="D53" s="273"/>
      <c r="E53" s="145"/>
      <c r="F53" s="283">
        <f>SUM(F47:F52)</f>
        <v>0</v>
      </c>
      <c r="G53" s="146"/>
      <c r="H53" s="283">
        <f t="shared" ref="H53:N53" si="36">SUM(H47:H52)</f>
        <v>0</v>
      </c>
      <c r="I53" s="146"/>
      <c r="J53" s="283">
        <f t="shared" si="36"/>
        <v>0</v>
      </c>
      <c r="K53" s="145"/>
      <c r="L53" s="283">
        <f t="shared" si="36"/>
        <v>0</v>
      </c>
      <c r="M53" s="145"/>
      <c r="N53" s="283">
        <f t="shared" si="36"/>
        <v>0</v>
      </c>
      <c r="O53" s="283">
        <f t="shared" si="21"/>
        <v>0</v>
      </c>
    </row>
    <row r="54" spans="1:34" x14ac:dyDescent="0.2">
      <c r="A54" s="138"/>
      <c r="B54" s="139"/>
      <c r="C54" s="261"/>
      <c r="D54" s="261"/>
      <c r="E54" s="139"/>
      <c r="F54" s="279"/>
      <c r="G54" s="140"/>
      <c r="H54" s="279"/>
      <c r="I54" s="140"/>
      <c r="J54" s="279"/>
      <c r="K54" s="139"/>
      <c r="L54" s="279"/>
      <c r="M54" s="139"/>
      <c r="N54" s="279"/>
      <c r="O54" s="279"/>
      <c r="P54" s="192">
        <f>SUM(O47:O52)</f>
        <v>0</v>
      </c>
      <c r="Q54" s="137"/>
    </row>
    <row r="55" spans="1:34" x14ac:dyDescent="0.2">
      <c r="A55" s="163" t="s">
        <v>24</v>
      </c>
      <c r="B55" s="164"/>
      <c r="C55" s="274"/>
      <c r="D55" s="274"/>
      <c r="E55" s="246"/>
      <c r="F55" s="288">
        <f>F25+F31+F44+F36+F53</f>
        <v>0</v>
      </c>
      <c r="G55" s="243"/>
      <c r="H55" s="288">
        <f t="shared" ref="H55:N55" si="37">H25+H31+H44+H36+H53</f>
        <v>0</v>
      </c>
      <c r="I55" s="243"/>
      <c r="J55" s="288">
        <f t="shared" si="37"/>
        <v>0</v>
      </c>
      <c r="K55" s="246"/>
      <c r="L55" s="288">
        <f t="shared" si="37"/>
        <v>0</v>
      </c>
      <c r="M55" s="246"/>
      <c r="N55" s="288">
        <f t="shared" si="37"/>
        <v>0</v>
      </c>
      <c r="O55" s="288">
        <f t="shared" si="21"/>
        <v>0</v>
      </c>
    </row>
    <row r="56" spans="1:34" ht="13.5" thickBot="1" x14ac:dyDescent="0.25">
      <c r="A56" s="166" t="s">
        <v>144</v>
      </c>
      <c r="B56" s="167">
        <v>0.52300000000000002</v>
      </c>
      <c r="C56" s="275"/>
      <c r="D56" s="275"/>
      <c r="E56" s="247"/>
      <c r="F56" s="289">
        <f>F13*$B$56</f>
        <v>0</v>
      </c>
      <c r="G56" s="244"/>
      <c r="H56" s="289">
        <f>H13*$B$56</f>
        <v>0</v>
      </c>
      <c r="I56" s="244"/>
      <c r="J56" s="289">
        <f>J13*$B$56</f>
        <v>0</v>
      </c>
      <c r="K56" s="247"/>
      <c r="L56" s="289">
        <f>L13*$B$56</f>
        <v>0</v>
      </c>
      <c r="M56" s="247"/>
      <c r="N56" s="289">
        <f>N13*$B$56</f>
        <v>0</v>
      </c>
      <c r="O56" s="289">
        <f t="shared" si="21"/>
        <v>0</v>
      </c>
      <c r="P56" s="197">
        <f>SUM(P25,P31,P36,P45,P54,)</f>
        <v>0</v>
      </c>
      <c r="Q56" s="165"/>
    </row>
    <row r="57" spans="1:34" s="131" customFormat="1" ht="13.5" thickTop="1" x14ac:dyDescent="0.2">
      <c r="A57" s="168" t="s">
        <v>12</v>
      </c>
      <c r="B57" s="169"/>
      <c r="C57" s="276"/>
      <c r="D57" s="276"/>
      <c r="E57" s="248"/>
      <c r="F57" s="290">
        <f>SUM(F55:F56)</f>
        <v>0</v>
      </c>
      <c r="G57" s="245"/>
      <c r="H57" s="290">
        <f t="shared" ref="H57:N57" si="38">SUM(H55:H56)</f>
        <v>0</v>
      </c>
      <c r="I57" s="245"/>
      <c r="J57" s="290">
        <f t="shared" si="38"/>
        <v>0</v>
      </c>
      <c r="K57" s="248"/>
      <c r="L57" s="290">
        <f t="shared" si="38"/>
        <v>0</v>
      </c>
      <c r="M57" s="248"/>
      <c r="N57" s="290">
        <f t="shared" si="38"/>
        <v>0</v>
      </c>
      <c r="O57" s="290">
        <f t="shared" si="21"/>
        <v>0</v>
      </c>
      <c r="P57" s="197">
        <f>B56*P13</f>
        <v>0</v>
      </c>
      <c r="Q57" s="165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</row>
    <row r="58" spans="1:34" s="131" customFormat="1" x14ac:dyDescent="0.2">
      <c r="A58" s="133"/>
      <c r="B58" s="133"/>
      <c r="C58" s="133"/>
      <c r="D58" s="304"/>
      <c r="E58" s="133"/>
      <c r="F58" s="170"/>
      <c r="G58" s="170"/>
      <c r="H58" s="170"/>
      <c r="I58" s="170"/>
      <c r="J58" s="170"/>
      <c r="K58" s="133"/>
      <c r="L58" s="170"/>
      <c r="M58" s="133"/>
      <c r="N58" s="170"/>
      <c r="O58" s="170"/>
      <c r="P58" s="197">
        <f>SUM(P25,P31,P36,P45,P54,P57)</f>
        <v>0</v>
      </c>
      <c r="Q58" s="165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</row>
    <row r="59" spans="1:34" s="131" customFormat="1" x14ac:dyDescent="0.2">
      <c r="A59" s="133"/>
      <c r="B59" s="133"/>
      <c r="C59" s="133"/>
      <c r="D59" s="304"/>
      <c r="E59" s="133"/>
      <c r="F59" s="170"/>
      <c r="G59" s="170"/>
      <c r="H59" s="170"/>
      <c r="I59" s="170"/>
      <c r="J59" s="170"/>
      <c r="K59" s="133"/>
      <c r="L59" s="170"/>
      <c r="M59" s="133"/>
      <c r="N59" s="170"/>
      <c r="O59" s="170"/>
      <c r="P59" s="190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</row>
    <row r="61" spans="1:34" x14ac:dyDescent="0.2">
      <c r="A61" s="171"/>
      <c r="B61" s="172"/>
      <c r="C61" s="172"/>
      <c r="D61" s="305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</row>
    <row r="62" spans="1:34" x14ac:dyDescent="0.2">
      <c r="A62" s="171"/>
      <c r="B62" s="172"/>
      <c r="C62" s="172"/>
      <c r="D62" s="305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</row>
    <row r="63" spans="1:34" x14ac:dyDescent="0.2">
      <c r="A63" s="171"/>
      <c r="B63" s="172"/>
      <c r="C63" s="172"/>
      <c r="D63" s="305"/>
      <c r="E63" s="173"/>
      <c r="F63" s="174"/>
      <c r="G63" s="174"/>
      <c r="H63" s="174"/>
      <c r="I63" s="174"/>
      <c r="J63" s="174"/>
      <c r="K63" s="173"/>
      <c r="L63" s="174"/>
      <c r="M63" s="173"/>
      <c r="N63" s="174"/>
      <c r="O63" s="174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34" x14ac:dyDescent="0.2">
      <c r="A64" s="171"/>
      <c r="B64" s="175"/>
      <c r="C64" s="175"/>
      <c r="D64" s="306"/>
      <c r="E64" s="175"/>
      <c r="F64" s="176"/>
      <c r="G64" s="176"/>
      <c r="H64" s="176"/>
      <c r="I64" s="176"/>
      <c r="J64" s="176"/>
      <c r="K64" s="175"/>
      <c r="L64" s="176"/>
      <c r="M64" s="175"/>
      <c r="N64" s="176"/>
      <c r="O64" s="176"/>
      <c r="R64" s="148"/>
      <c r="S64" s="148"/>
      <c r="T64" s="148"/>
      <c r="U64" s="148"/>
      <c r="V64" s="148"/>
      <c r="W64" s="148"/>
      <c r="X64" s="148"/>
      <c r="Y64" s="148"/>
      <c r="Z64" s="148"/>
      <c r="AA64" s="148"/>
    </row>
    <row r="65" spans="1:34" x14ac:dyDescent="0.2">
      <c r="A65" s="171"/>
      <c r="B65" s="175"/>
      <c r="C65" s="175"/>
      <c r="D65" s="306"/>
      <c r="E65" s="175"/>
      <c r="F65" s="176"/>
      <c r="G65" s="176"/>
      <c r="H65" s="176"/>
      <c r="I65" s="176"/>
      <c r="J65" s="176"/>
      <c r="K65" s="175"/>
      <c r="L65" s="176"/>
      <c r="M65" s="175"/>
      <c r="N65" s="176"/>
      <c r="O65" s="176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4" x14ac:dyDescent="0.2">
      <c r="A66" s="171"/>
      <c r="B66" s="177"/>
      <c r="C66" s="177"/>
      <c r="D66" s="307"/>
      <c r="E66" s="177"/>
      <c r="F66" s="178"/>
      <c r="G66" s="178"/>
      <c r="H66" s="178"/>
      <c r="I66" s="178"/>
      <c r="J66" s="178"/>
      <c r="K66" s="177"/>
      <c r="L66" s="178"/>
      <c r="M66" s="177"/>
      <c r="N66" s="178"/>
      <c r="O66" s="17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4" x14ac:dyDescent="0.2">
      <c r="A67" s="171"/>
      <c r="B67" s="175"/>
      <c r="C67" s="175"/>
      <c r="D67" s="306"/>
      <c r="E67" s="175"/>
      <c r="F67" s="176"/>
      <c r="G67" s="176"/>
      <c r="H67" s="176"/>
      <c r="I67" s="176"/>
      <c r="J67" s="176"/>
      <c r="K67" s="175"/>
      <c r="L67" s="176"/>
      <c r="M67" s="175"/>
      <c r="N67" s="176"/>
      <c r="O67" s="176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48"/>
      <c r="AC67" s="148"/>
      <c r="AD67" s="148"/>
      <c r="AE67" s="148"/>
      <c r="AF67" s="148"/>
      <c r="AG67" s="148"/>
    </row>
    <row r="68" spans="1:34" x14ac:dyDescent="0.2">
      <c r="A68" s="171"/>
      <c r="B68" s="175"/>
      <c r="C68" s="175"/>
      <c r="D68" s="306"/>
      <c r="E68" s="175"/>
      <c r="F68" s="176"/>
      <c r="G68" s="176"/>
      <c r="H68" s="176"/>
      <c r="I68" s="176"/>
      <c r="J68" s="176"/>
      <c r="K68" s="175"/>
      <c r="L68" s="176"/>
      <c r="M68" s="175"/>
      <c r="N68" s="176"/>
      <c r="O68" s="176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48"/>
      <c r="AC68" s="148"/>
      <c r="AD68" s="148"/>
      <c r="AE68" s="148"/>
      <c r="AF68" s="148"/>
      <c r="AG68" s="148"/>
    </row>
    <row r="69" spans="1:34" x14ac:dyDescent="0.2">
      <c r="A69" s="171"/>
      <c r="B69" s="175"/>
      <c r="C69" s="175"/>
      <c r="D69" s="306"/>
      <c r="E69" s="175"/>
      <c r="F69" s="176"/>
      <c r="G69" s="176"/>
      <c r="H69" s="176"/>
      <c r="I69" s="176"/>
      <c r="J69" s="176"/>
      <c r="K69" s="175"/>
      <c r="L69" s="176"/>
      <c r="M69" s="175"/>
      <c r="N69" s="176"/>
      <c r="O69" s="176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48"/>
    </row>
    <row r="70" spans="1:34" x14ac:dyDescent="0.2">
      <c r="A70" s="171"/>
      <c r="B70" s="175"/>
      <c r="C70" s="175"/>
      <c r="D70" s="306"/>
      <c r="E70" s="175"/>
      <c r="F70" s="176"/>
      <c r="G70" s="176"/>
      <c r="H70" s="176"/>
      <c r="I70" s="176"/>
      <c r="J70" s="176"/>
      <c r="K70" s="175"/>
      <c r="L70" s="176"/>
      <c r="M70" s="175"/>
      <c r="N70" s="176"/>
      <c r="O70" s="176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48"/>
    </row>
    <row r="71" spans="1:34" x14ac:dyDescent="0.2">
      <c r="A71" s="175"/>
      <c r="B71" s="175"/>
      <c r="C71" s="175"/>
      <c r="D71" s="306"/>
      <c r="E71" s="175"/>
      <c r="F71" s="176"/>
      <c r="G71" s="176"/>
      <c r="H71" s="176"/>
      <c r="I71" s="176"/>
      <c r="J71" s="176"/>
      <c r="K71" s="175"/>
      <c r="L71" s="176"/>
      <c r="M71" s="175"/>
      <c r="N71" s="176"/>
      <c r="O71" s="176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</row>
    <row r="72" spans="1:34" x14ac:dyDescent="0.2">
      <c r="A72" s="179"/>
      <c r="B72" s="179"/>
      <c r="C72" s="179"/>
      <c r="D72" s="308"/>
      <c r="E72" s="179"/>
      <c r="F72" s="175"/>
      <c r="G72" s="175"/>
      <c r="H72" s="176"/>
      <c r="I72" s="176"/>
      <c r="J72" s="176"/>
      <c r="K72" s="179"/>
      <c r="L72" s="176"/>
      <c r="M72" s="179"/>
      <c r="N72" s="176"/>
      <c r="O72" s="176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75"/>
      <c r="AC72" s="175"/>
      <c r="AD72" s="175"/>
      <c r="AE72" s="175"/>
      <c r="AF72" s="175"/>
      <c r="AG72" s="175"/>
      <c r="AH72" s="148"/>
    </row>
    <row r="73" spans="1:34" x14ac:dyDescent="0.2">
      <c r="A73" s="175"/>
      <c r="B73" s="175"/>
      <c r="C73" s="175"/>
      <c r="D73" s="306"/>
      <c r="E73" s="175"/>
      <c r="F73" s="180"/>
      <c r="G73" s="180"/>
      <c r="H73" s="180"/>
      <c r="I73" s="180"/>
      <c r="J73" s="180"/>
      <c r="K73" s="175"/>
      <c r="L73" s="180"/>
      <c r="M73" s="175"/>
      <c r="N73" s="180"/>
      <c r="O73" s="180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75"/>
      <c r="AC73" s="175"/>
      <c r="AD73" s="175"/>
      <c r="AE73" s="175"/>
      <c r="AF73" s="175"/>
      <c r="AG73" s="175"/>
      <c r="AH73" s="148"/>
    </row>
    <row r="74" spans="1:34" x14ac:dyDescent="0.2">
      <c r="A74" s="175"/>
      <c r="B74" s="175"/>
      <c r="C74" s="175"/>
      <c r="D74" s="306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75"/>
      <c r="AH74" s="148"/>
    </row>
    <row r="75" spans="1:34" x14ac:dyDescent="0.2">
      <c r="A75" s="181"/>
      <c r="B75" s="181"/>
      <c r="C75" s="181"/>
      <c r="D75" s="309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75"/>
      <c r="AH75" s="148"/>
    </row>
    <row r="76" spans="1:34" x14ac:dyDescent="0.2">
      <c r="A76" s="175"/>
      <c r="B76" s="175"/>
      <c r="C76" s="175"/>
      <c r="D76" s="306"/>
      <c r="E76" s="175"/>
      <c r="F76" s="176"/>
      <c r="G76" s="176"/>
      <c r="H76" s="176"/>
      <c r="I76" s="176"/>
      <c r="J76" s="176"/>
      <c r="K76" s="175"/>
      <c r="L76" s="176"/>
      <c r="M76" s="175"/>
      <c r="N76" s="176"/>
      <c r="O76" s="176"/>
      <c r="AB76" s="148"/>
      <c r="AC76" s="148"/>
      <c r="AD76" s="148"/>
      <c r="AE76" s="148"/>
      <c r="AF76" s="148"/>
      <c r="AG76" s="148"/>
      <c r="AH76" s="175"/>
    </row>
    <row r="77" spans="1:34" x14ac:dyDescent="0.2">
      <c r="A77" s="175"/>
      <c r="B77" s="175"/>
      <c r="C77" s="175"/>
      <c r="D77" s="306"/>
      <c r="E77" s="175"/>
      <c r="F77" s="176"/>
      <c r="G77" s="176"/>
      <c r="H77" s="176"/>
      <c r="I77" s="176"/>
      <c r="J77" s="176"/>
      <c r="K77" s="175"/>
      <c r="L77" s="176"/>
      <c r="M77" s="175"/>
      <c r="N77" s="176"/>
      <c r="O77" s="176"/>
      <c r="AB77" s="148"/>
      <c r="AC77" s="148"/>
      <c r="AD77" s="148"/>
      <c r="AE77" s="148"/>
      <c r="AF77" s="148"/>
      <c r="AG77" s="148"/>
      <c r="AH77" s="175"/>
    </row>
    <row r="78" spans="1:34" x14ac:dyDescent="0.2">
      <c r="A78" s="175"/>
      <c r="B78" s="175"/>
      <c r="C78" s="175"/>
      <c r="D78" s="306"/>
      <c r="E78" s="175"/>
      <c r="F78" s="176"/>
      <c r="G78" s="176"/>
      <c r="H78" s="176"/>
      <c r="I78" s="176"/>
      <c r="J78" s="176"/>
      <c r="K78" s="175"/>
      <c r="L78" s="176"/>
      <c r="M78" s="175"/>
      <c r="N78" s="176"/>
      <c r="O78" s="176"/>
      <c r="AG78" s="148"/>
      <c r="AH78" s="175"/>
    </row>
    <row r="79" spans="1:34" x14ac:dyDescent="0.2">
      <c r="A79" s="175"/>
      <c r="B79" s="175"/>
      <c r="C79" s="175"/>
      <c r="D79" s="306"/>
      <c r="E79" s="175"/>
      <c r="F79" s="176"/>
      <c r="G79" s="176"/>
      <c r="H79" s="176"/>
      <c r="I79" s="176"/>
      <c r="J79" s="176"/>
      <c r="K79" s="175"/>
      <c r="L79" s="176"/>
      <c r="M79" s="175"/>
      <c r="N79" s="176"/>
      <c r="O79" s="176"/>
      <c r="AG79" s="148"/>
      <c r="AH79" s="175"/>
    </row>
    <row r="80" spans="1:34" x14ac:dyDescent="0.2">
      <c r="A80" s="175"/>
      <c r="B80" s="175"/>
      <c r="C80" s="175"/>
      <c r="D80" s="306"/>
      <c r="E80" s="175"/>
      <c r="F80" s="176"/>
      <c r="G80" s="176"/>
      <c r="H80" s="176"/>
      <c r="I80" s="176"/>
      <c r="J80" s="176"/>
      <c r="K80" s="175"/>
      <c r="L80" s="176"/>
      <c r="M80" s="175"/>
      <c r="N80" s="176"/>
      <c r="O80" s="176"/>
      <c r="AH80" s="175"/>
    </row>
    <row r="81" spans="1:34" x14ac:dyDescent="0.2">
      <c r="A81" s="175"/>
      <c r="B81" s="175"/>
      <c r="C81" s="175"/>
      <c r="D81" s="306"/>
      <c r="E81" s="175"/>
      <c r="F81" s="176"/>
      <c r="G81" s="176"/>
      <c r="H81" s="176"/>
      <c r="I81" s="176"/>
      <c r="J81" s="176"/>
      <c r="K81" s="175"/>
      <c r="L81" s="176"/>
      <c r="M81" s="175"/>
      <c r="N81" s="176"/>
      <c r="O81" s="176"/>
      <c r="AH81" s="148"/>
    </row>
    <row r="82" spans="1:34" x14ac:dyDescent="0.2">
      <c r="A82" s="175"/>
      <c r="B82" s="175"/>
      <c r="C82" s="175"/>
      <c r="D82" s="306"/>
      <c r="E82" s="175"/>
      <c r="F82" s="176"/>
      <c r="G82" s="176"/>
      <c r="H82" s="176"/>
      <c r="I82" s="176"/>
      <c r="J82" s="176"/>
      <c r="K82" s="175"/>
      <c r="L82" s="176"/>
      <c r="M82" s="175"/>
      <c r="N82" s="176"/>
      <c r="O82" s="176"/>
      <c r="AH82" s="148"/>
    </row>
    <row r="83" spans="1:34" x14ac:dyDescent="0.2">
      <c r="A83" s="175"/>
      <c r="B83" s="175"/>
      <c r="C83" s="175"/>
      <c r="D83" s="306"/>
      <c r="E83" s="175"/>
      <c r="F83" s="176"/>
      <c r="G83" s="176"/>
      <c r="H83" s="176"/>
      <c r="I83" s="176"/>
      <c r="J83" s="176"/>
      <c r="K83" s="175"/>
      <c r="L83" s="176"/>
      <c r="M83" s="175"/>
      <c r="N83" s="176"/>
      <c r="O83" s="176"/>
      <c r="AH83" s="148"/>
    </row>
    <row r="84" spans="1:34" x14ac:dyDescent="0.2">
      <c r="A84" s="175"/>
      <c r="B84" s="175"/>
      <c r="C84" s="175"/>
      <c r="D84" s="306"/>
      <c r="E84" s="175"/>
      <c r="F84" s="176"/>
      <c r="G84" s="176"/>
      <c r="H84" s="176"/>
      <c r="I84" s="176"/>
      <c r="J84" s="176"/>
      <c r="K84" s="175"/>
      <c r="L84" s="176"/>
      <c r="M84" s="175"/>
      <c r="N84" s="176"/>
      <c r="O84" s="176"/>
      <c r="AH84" s="148"/>
    </row>
    <row r="85" spans="1:34" s="148" customFormat="1" x14ac:dyDescent="0.2">
      <c r="A85" s="179"/>
      <c r="B85" s="179"/>
      <c r="C85" s="179"/>
      <c r="D85" s="308"/>
      <c r="E85" s="179"/>
      <c r="F85" s="175"/>
      <c r="G85" s="175"/>
      <c r="H85" s="176"/>
      <c r="I85" s="176"/>
      <c r="J85" s="176"/>
      <c r="K85" s="179"/>
      <c r="L85" s="176"/>
      <c r="M85" s="179"/>
      <c r="N85" s="176"/>
      <c r="O85" s="176"/>
      <c r="P85" s="196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</row>
    <row r="86" spans="1:34" s="148" customFormat="1" x14ac:dyDescent="0.2">
      <c r="A86" s="175"/>
      <c r="B86" s="175"/>
      <c r="C86" s="175"/>
      <c r="D86" s="306"/>
      <c r="E86" s="175"/>
      <c r="F86" s="180"/>
      <c r="G86" s="180"/>
      <c r="H86" s="180"/>
      <c r="I86" s="180"/>
      <c r="J86" s="180"/>
      <c r="K86" s="175"/>
      <c r="L86" s="180"/>
      <c r="M86" s="175"/>
      <c r="N86" s="180"/>
      <c r="O86" s="180"/>
      <c r="P86" s="196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</row>
    <row r="87" spans="1:34" s="148" customFormat="1" x14ac:dyDescent="0.2">
      <c r="A87" s="175"/>
      <c r="B87" s="175"/>
      <c r="C87" s="175"/>
      <c r="D87" s="306"/>
      <c r="E87" s="175"/>
      <c r="F87" s="180"/>
      <c r="G87" s="180"/>
      <c r="H87" s="180"/>
      <c r="I87" s="180"/>
      <c r="J87" s="180"/>
      <c r="K87" s="175"/>
      <c r="L87" s="180"/>
      <c r="M87" s="175"/>
      <c r="N87" s="180"/>
      <c r="O87" s="180"/>
      <c r="P87" s="196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</row>
    <row r="88" spans="1:34" s="148" customFormat="1" x14ac:dyDescent="0.2">
      <c r="A88" s="175"/>
      <c r="B88" s="175"/>
      <c r="C88" s="175"/>
      <c r="D88" s="306"/>
      <c r="E88" s="175"/>
      <c r="F88" s="180"/>
      <c r="G88" s="180"/>
      <c r="H88" s="180"/>
      <c r="I88" s="180"/>
      <c r="J88" s="180"/>
      <c r="K88" s="175"/>
      <c r="L88" s="180"/>
      <c r="M88" s="175"/>
      <c r="N88" s="180"/>
      <c r="O88" s="180"/>
      <c r="P88" s="196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</row>
    <row r="89" spans="1:34" s="175" customFormat="1" x14ac:dyDescent="0.2">
      <c r="D89" s="306"/>
      <c r="F89" s="180"/>
      <c r="G89" s="180"/>
      <c r="H89" s="180"/>
      <c r="I89" s="180"/>
      <c r="J89" s="180"/>
      <c r="L89" s="180"/>
      <c r="N89" s="180"/>
      <c r="O89" s="180"/>
      <c r="P89" s="181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</row>
    <row r="90" spans="1:34" s="175" customFormat="1" x14ac:dyDescent="0.2">
      <c r="D90" s="306"/>
      <c r="F90" s="180"/>
      <c r="G90" s="180"/>
      <c r="H90" s="180"/>
      <c r="I90" s="180"/>
      <c r="J90" s="180"/>
      <c r="L90" s="180"/>
      <c r="N90" s="180"/>
      <c r="O90" s="180"/>
      <c r="P90" s="181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</row>
    <row r="91" spans="1:34" s="175" customFormat="1" x14ac:dyDescent="0.2">
      <c r="D91" s="306"/>
      <c r="F91" s="180"/>
      <c r="G91" s="180"/>
      <c r="H91" s="180"/>
      <c r="I91" s="180"/>
      <c r="J91" s="180"/>
      <c r="L91" s="180"/>
      <c r="N91" s="180"/>
      <c r="O91" s="180"/>
      <c r="P91" s="181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</row>
    <row r="92" spans="1:34" s="175" customFormat="1" x14ac:dyDescent="0.2">
      <c r="D92" s="306"/>
      <c r="F92" s="180"/>
      <c r="G92" s="180"/>
      <c r="H92" s="180"/>
      <c r="I92" s="180"/>
      <c r="J92" s="180"/>
      <c r="L92" s="180"/>
      <c r="N92" s="180"/>
      <c r="O92" s="180"/>
      <c r="P92" s="181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</row>
    <row r="93" spans="1:34" s="175" customFormat="1" x14ac:dyDescent="0.2">
      <c r="A93" s="148"/>
      <c r="B93" s="148"/>
      <c r="C93" s="148"/>
      <c r="D93" s="310"/>
      <c r="E93" s="148"/>
      <c r="F93" s="182"/>
      <c r="G93" s="182"/>
      <c r="H93" s="182"/>
      <c r="I93" s="182"/>
      <c r="J93" s="182"/>
      <c r="K93" s="148"/>
      <c r="L93" s="182"/>
      <c r="M93" s="148"/>
      <c r="N93" s="182"/>
      <c r="O93" s="182"/>
      <c r="P93" s="181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</row>
    <row r="94" spans="1:34" s="148" customFormat="1" x14ac:dyDescent="0.2">
      <c r="D94" s="310"/>
      <c r="F94" s="182"/>
      <c r="G94" s="182"/>
      <c r="H94" s="182"/>
      <c r="I94" s="182"/>
      <c r="J94" s="182"/>
      <c r="L94" s="182"/>
      <c r="N94" s="182"/>
      <c r="O94" s="182"/>
      <c r="P94" s="196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</row>
    <row r="95" spans="1:34" s="148" customFormat="1" x14ac:dyDescent="0.2">
      <c r="D95" s="310"/>
      <c r="F95" s="182"/>
      <c r="G95" s="182"/>
      <c r="H95" s="182"/>
      <c r="I95" s="182"/>
      <c r="J95" s="182"/>
      <c r="L95" s="182"/>
      <c r="N95" s="182"/>
      <c r="O95" s="182"/>
      <c r="P95" s="196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</row>
    <row r="96" spans="1:34" s="148" customFormat="1" x14ac:dyDescent="0.2">
      <c r="D96" s="310"/>
      <c r="F96" s="182"/>
      <c r="G96" s="182"/>
      <c r="H96" s="182"/>
      <c r="I96" s="182"/>
      <c r="J96" s="182"/>
      <c r="L96" s="182"/>
      <c r="N96" s="182"/>
      <c r="O96" s="182"/>
      <c r="P96" s="196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</row>
    <row r="97" spans="1:34" s="148" customFormat="1" x14ac:dyDescent="0.2">
      <c r="D97" s="310"/>
      <c r="F97" s="182"/>
      <c r="G97" s="182"/>
      <c r="H97" s="182"/>
      <c r="I97" s="182"/>
      <c r="J97" s="182"/>
      <c r="L97" s="182"/>
      <c r="N97" s="182"/>
      <c r="O97" s="182"/>
      <c r="P97" s="196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</row>
    <row r="98" spans="1:34" x14ac:dyDescent="0.2">
      <c r="A98" s="148"/>
      <c r="B98" s="148"/>
      <c r="C98" s="148"/>
      <c r="D98" s="310"/>
      <c r="E98" s="148"/>
      <c r="F98" s="182"/>
      <c r="G98" s="182"/>
      <c r="H98" s="182"/>
      <c r="I98" s="182"/>
      <c r="J98" s="182"/>
      <c r="K98" s="148"/>
      <c r="L98" s="182"/>
      <c r="M98" s="148"/>
      <c r="N98" s="182"/>
      <c r="O98" s="182"/>
    </row>
    <row r="99" spans="1:34" x14ac:dyDescent="0.2">
      <c r="A99" s="148"/>
      <c r="B99" s="148"/>
      <c r="C99" s="148"/>
      <c r="D99" s="310"/>
      <c r="E99" s="148"/>
      <c r="F99" s="182"/>
      <c r="G99" s="182"/>
      <c r="H99" s="182"/>
      <c r="I99" s="182"/>
      <c r="J99" s="182"/>
      <c r="K99" s="148"/>
      <c r="L99" s="182"/>
      <c r="M99" s="148"/>
      <c r="N99" s="182"/>
      <c r="O99" s="182"/>
    </row>
    <row r="100" spans="1:34" x14ac:dyDescent="0.2">
      <c r="A100" s="148"/>
      <c r="B100" s="148"/>
      <c r="C100" s="148"/>
      <c r="D100" s="310"/>
      <c r="E100" s="148"/>
      <c r="F100" s="182"/>
      <c r="G100" s="182"/>
      <c r="H100" s="182"/>
      <c r="I100" s="182"/>
      <c r="J100" s="182"/>
      <c r="K100" s="148"/>
      <c r="L100" s="182"/>
      <c r="M100" s="148"/>
      <c r="N100" s="182"/>
      <c r="O100" s="182"/>
    </row>
    <row r="101" spans="1:34" x14ac:dyDescent="0.2">
      <c r="A101" s="148"/>
      <c r="B101" s="148"/>
      <c r="C101" s="148"/>
      <c r="D101" s="310"/>
      <c r="E101" s="148"/>
      <c r="F101" s="182"/>
      <c r="G101" s="182"/>
      <c r="H101" s="182"/>
      <c r="I101" s="182"/>
      <c r="J101" s="182"/>
      <c r="K101" s="148"/>
      <c r="L101" s="182"/>
      <c r="M101" s="148"/>
      <c r="N101" s="182"/>
      <c r="O101" s="182"/>
    </row>
    <row r="102" spans="1:34" x14ac:dyDescent="0.2">
      <c r="A102" s="148"/>
      <c r="B102" s="148"/>
      <c r="C102" s="148"/>
      <c r="D102" s="310"/>
      <c r="E102" s="148"/>
      <c r="F102" s="182"/>
      <c r="G102" s="182"/>
      <c r="H102" s="182"/>
      <c r="I102" s="182"/>
      <c r="J102" s="182"/>
      <c r="K102" s="148"/>
      <c r="L102" s="182"/>
      <c r="M102" s="148"/>
      <c r="N102" s="182"/>
      <c r="O102" s="182"/>
    </row>
    <row r="103" spans="1:34" x14ac:dyDescent="0.2">
      <c r="A103" s="148"/>
      <c r="B103" s="148"/>
      <c r="C103" s="148"/>
      <c r="D103" s="310"/>
      <c r="E103" s="148"/>
      <c r="F103" s="182"/>
      <c r="G103" s="182"/>
      <c r="H103" s="182"/>
      <c r="I103" s="182"/>
      <c r="J103" s="182"/>
      <c r="K103" s="148"/>
      <c r="L103" s="182"/>
      <c r="M103" s="148"/>
      <c r="N103" s="182"/>
      <c r="O103" s="182"/>
    </row>
    <row r="104" spans="1:34" x14ac:dyDescent="0.2">
      <c r="A104" s="148"/>
      <c r="B104" s="148"/>
      <c r="C104" s="148"/>
      <c r="D104" s="310"/>
      <c r="E104" s="148"/>
      <c r="F104" s="182"/>
      <c r="G104" s="182"/>
      <c r="H104" s="182"/>
      <c r="I104" s="182"/>
      <c r="J104" s="182"/>
      <c r="K104" s="148"/>
      <c r="L104" s="182"/>
      <c r="M104" s="148"/>
      <c r="N104" s="182"/>
      <c r="O104" s="182"/>
    </row>
    <row r="105" spans="1:34" x14ac:dyDescent="0.2">
      <c r="A105" s="148"/>
      <c r="B105" s="148"/>
      <c r="C105" s="148"/>
      <c r="D105" s="310"/>
      <c r="E105" s="148"/>
      <c r="F105" s="182"/>
      <c r="G105" s="182"/>
      <c r="H105" s="182"/>
      <c r="I105" s="182"/>
      <c r="J105" s="182"/>
      <c r="K105" s="148"/>
      <c r="L105" s="182"/>
      <c r="M105" s="148"/>
      <c r="N105" s="182"/>
      <c r="O105" s="182"/>
    </row>
    <row r="106" spans="1:34" x14ac:dyDescent="0.2">
      <c r="A106" s="148"/>
      <c r="B106" s="148"/>
      <c r="C106" s="148"/>
      <c r="D106" s="310"/>
      <c r="E106" s="148"/>
      <c r="F106" s="182"/>
      <c r="G106" s="182"/>
      <c r="H106" s="182"/>
      <c r="I106" s="182"/>
      <c r="J106" s="182"/>
      <c r="K106" s="148"/>
      <c r="L106" s="182"/>
      <c r="M106" s="148"/>
      <c r="N106" s="182"/>
      <c r="O106" s="182"/>
    </row>
    <row r="107" spans="1:34" x14ac:dyDescent="0.2">
      <c r="A107" s="148"/>
      <c r="B107" s="148"/>
      <c r="C107" s="148"/>
      <c r="D107" s="310"/>
      <c r="E107" s="148"/>
      <c r="F107" s="182"/>
      <c r="G107" s="182"/>
      <c r="H107" s="182"/>
      <c r="I107" s="182"/>
      <c r="J107" s="182"/>
      <c r="K107" s="148"/>
      <c r="L107" s="182"/>
      <c r="M107" s="148"/>
      <c r="N107" s="182"/>
      <c r="O107" s="182"/>
    </row>
    <row r="108" spans="1:34" x14ac:dyDescent="0.2">
      <c r="A108" s="148"/>
      <c r="B108" s="148"/>
      <c r="C108" s="148"/>
      <c r="D108" s="310"/>
      <c r="E108" s="148"/>
      <c r="F108" s="182"/>
      <c r="G108" s="182"/>
      <c r="H108" s="182"/>
      <c r="I108" s="182"/>
      <c r="J108" s="182"/>
      <c r="K108" s="148"/>
      <c r="L108" s="182"/>
      <c r="M108" s="148"/>
      <c r="N108" s="182"/>
      <c r="O108" s="182"/>
    </row>
    <row r="109" spans="1:34" x14ac:dyDescent="0.2">
      <c r="A109" s="148"/>
      <c r="B109" s="148"/>
      <c r="C109" s="148"/>
      <c r="D109" s="310"/>
      <c r="E109" s="148"/>
      <c r="F109" s="182"/>
      <c r="G109" s="182"/>
      <c r="H109" s="182"/>
      <c r="I109" s="182"/>
      <c r="J109" s="182"/>
      <c r="K109" s="148"/>
      <c r="L109" s="182"/>
      <c r="M109" s="148"/>
      <c r="N109" s="182"/>
      <c r="O109" s="182"/>
    </row>
    <row r="110" spans="1:34" x14ac:dyDescent="0.2">
      <c r="A110" s="148"/>
      <c r="B110" s="148"/>
      <c r="C110" s="148"/>
      <c r="D110" s="310"/>
      <c r="E110" s="148"/>
      <c r="F110" s="182"/>
      <c r="G110" s="182"/>
      <c r="H110" s="182"/>
      <c r="I110" s="182"/>
      <c r="J110" s="182"/>
      <c r="K110" s="148"/>
      <c r="L110" s="182"/>
      <c r="M110" s="148"/>
      <c r="N110" s="182"/>
      <c r="O110" s="182"/>
    </row>
    <row r="111" spans="1:34" x14ac:dyDescent="0.2">
      <c r="A111" s="148"/>
      <c r="B111" s="148"/>
      <c r="C111" s="148"/>
      <c r="D111" s="310"/>
      <c r="E111" s="148"/>
      <c r="F111" s="182"/>
      <c r="G111" s="182"/>
      <c r="H111" s="182"/>
      <c r="I111" s="182"/>
      <c r="J111" s="182"/>
      <c r="K111" s="148"/>
      <c r="L111" s="182"/>
      <c r="M111" s="148"/>
      <c r="N111" s="182"/>
      <c r="O111" s="182"/>
    </row>
    <row r="112" spans="1:34" x14ac:dyDescent="0.2">
      <c r="A112" s="148"/>
      <c r="B112" s="148"/>
      <c r="C112" s="148"/>
      <c r="D112" s="310"/>
      <c r="E112" s="148"/>
      <c r="F112" s="182"/>
      <c r="G112" s="182"/>
      <c r="H112" s="182"/>
      <c r="I112" s="182"/>
      <c r="J112" s="182"/>
      <c r="K112" s="148"/>
      <c r="L112" s="182"/>
      <c r="M112" s="148"/>
      <c r="N112" s="182"/>
      <c r="O112" s="182"/>
    </row>
    <row r="113" spans="1:15" x14ac:dyDescent="0.2">
      <c r="A113" s="148"/>
      <c r="B113" s="148"/>
      <c r="C113" s="148"/>
      <c r="D113" s="310"/>
      <c r="E113" s="148"/>
      <c r="F113" s="182"/>
      <c r="G113" s="182"/>
      <c r="H113" s="182"/>
      <c r="I113" s="182"/>
      <c r="J113" s="182"/>
      <c r="K113" s="148"/>
      <c r="L113" s="182"/>
      <c r="M113" s="148"/>
      <c r="N113" s="182"/>
      <c r="O113" s="182"/>
    </row>
    <row r="114" spans="1:15" x14ac:dyDescent="0.2">
      <c r="A114" s="148"/>
      <c r="B114" s="148"/>
      <c r="C114" s="148"/>
      <c r="D114" s="310"/>
      <c r="E114" s="148"/>
      <c r="F114" s="182"/>
      <c r="G114" s="182"/>
      <c r="H114" s="182"/>
      <c r="I114" s="182"/>
      <c r="J114" s="182"/>
      <c r="K114" s="148"/>
      <c r="L114" s="182"/>
      <c r="M114" s="148"/>
      <c r="N114" s="182"/>
      <c r="O114" s="182"/>
    </row>
    <row r="115" spans="1:15" x14ac:dyDescent="0.2">
      <c r="A115" s="148"/>
      <c r="B115" s="148"/>
      <c r="C115" s="148"/>
      <c r="D115" s="310"/>
      <c r="E115" s="148"/>
      <c r="F115" s="182"/>
      <c r="G115" s="182"/>
      <c r="H115" s="182"/>
      <c r="I115" s="182"/>
      <c r="J115" s="182"/>
      <c r="K115" s="148"/>
      <c r="L115" s="182"/>
      <c r="M115" s="148"/>
      <c r="N115" s="182"/>
      <c r="O115" s="182"/>
    </row>
    <row r="116" spans="1:15" x14ac:dyDescent="0.2">
      <c r="A116" s="148"/>
      <c r="B116" s="148"/>
      <c r="C116" s="148"/>
      <c r="D116" s="310"/>
      <c r="E116" s="148"/>
      <c r="F116" s="182"/>
      <c r="G116" s="182"/>
      <c r="H116" s="182"/>
      <c r="I116" s="182"/>
      <c r="J116" s="182"/>
      <c r="K116" s="148"/>
      <c r="L116" s="182"/>
      <c r="M116" s="148"/>
      <c r="N116" s="182"/>
      <c r="O116" s="182"/>
    </row>
    <row r="117" spans="1:15" x14ac:dyDescent="0.2">
      <c r="A117" s="148"/>
      <c r="B117" s="148"/>
      <c r="C117" s="148"/>
      <c r="D117" s="310"/>
      <c r="E117" s="148"/>
      <c r="F117" s="182"/>
      <c r="G117" s="182"/>
      <c r="H117" s="182"/>
      <c r="I117" s="182"/>
      <c r="J117" s="182"/>
      <c r="K117" s="148"/>
      <c r="L117" s="182"/>
      <c r="M117" s="148"/>
      <c r="N117" s="182"/>
      <c r="O117" s="182"/>
    </row>
    <row r="118" spans="1:15" x14ac:dyDescent="0.2">
      <c r="A118" s="148"/>
      <c r="B118" s="148"/>
      <c r="C118" s="148"/>
      <c r="D118" s="310"/>
      <c r="E118" s="148"/>
      <c r="F118" s="182"/>
      <c r="G118" s="182"/>
      <c r="H118" s="182"/>
      <c r="I118" s="182"/>
      <c r="J118" s="182"/>
      <c r="K118" s="148"/>
      <c r="L118" s="182"/>
      <c r="M118" s="148"/>
      <c r="N118" s="182"/>
      <c r="O118" s="182"/>
    </row>
    <row r="119" spans="1:15" x14ac:dyDescent="0.2">
      <c r="A119" s="148"/>
      <c r="B119" s="148"/>
      <c r="C119" s="148"/>
      <c r="D119" s="310"/>
      <c r="E119" s="148"/>
      <c r="F119" s="182"/>
      <c r="G119" s="182"/>
      <c r="H119" s="182"/>
      <c r="I119" s="182"/>
      <c r="J119" s="182"/>
      <c r="K119" s="148"/>
      <c r="L119" s="182"/>
      <c r="M119" s="148"/>
      <c r="N119" s="182"/>
      <c r="O119" s="182"/>
    </row>
    <row r="120" spans="1:15" x14ac:dyDescent="0.2">
      <c r="A120" s="148"/>
      <c r="B120" s="148"/>
      <c r="C120" s="148"/>
      <c r="D120" s="310"/>
      <c r="E120" s="148"/>
      <c r="F120" s="182"/>
      <c r="G120" s="182"/>
      <c r="H120" s="182"/>
      <c r="I120" s="182"/>
      <c r="J120" s="182"/>
      <c r="K120" s="148"/>
      <c r="L120" s="182"/>
      <c r="M120" s="148"/>
      <c r="N120" s="182"/>
      <c r="O120" s="182"/>
    </row>
    <row r="121" spans="1:15" x14ac:dyDescent="0.2">
      <c r="A121" s="148"/>
      <c r="B121" s="148"/>
      <c r="C121" s="148"/>
      <c r="D121" s="310"/>
      <c r="E121" s="148"/>
      <c r="F121" s="182"/>
      <c r="G121" s="182"/>
      <c r="H121" s="182"/>
      <c r="I121" s="182"/>
      <c r="J121" s="182"/>
      <c r="K121" s="148"/>
      <c r="L121" s="182"/>
      <c r="M121" s="148"/>
      <c r="N121" s="182"/>
      <c r="O121" s="182"/>
    </row>
    <row r="122" spans="1:15" x14ac:dyDescent="0.2">
      <c r="A122" s="148"/>
      <c r="B122" s="148"/>
      <c r="C122" s="148"/>
      <c r="D122" s="310"/>
      <c r="E122" s="148"/>
      <c r="F122" s="182"/>
      <c r="G122" s="182"/>
      <c r="H122" s="182"/>
      <c r="I122" s="182"/>
      <c r="J122" s="182"/>
      <c r="K122" s="148"/>
      <c r="L122" s="182"/>
      <c r="M122" s="148"/>
      <c r="N122" s="182"/>
      <c r="O122" s="182"/>
    </row>
    <row r="123" spans="1:15" x14ac:dyDescent="0.2">
      <c r="A123" s="148"/>
      <c r="B123" s="148"/>
      <c r="C123" s="148"/>
      <c r="D123" s="310"/>
      <c r="E123" s="148"/>
      <c r="F123" s="182"/>
      <c r="G123" s="182"/>
      <c r="H123" s="182"/>
      <c r="I123" s="182"/>
      <c r="J123" s="182"/>
      <c r="K123" s="148"/>
      <c r="L123" s="182"/>
      <c r="M123" s="148"/>
      <c r="N123" s="182"/>
      <c r="O123" s="182"/>
    </row>
    <row r="124" spans="1:15" x14ac:dyDescent="0.2">
      <c r="A124" s="148"/>
      <c r="B124" s="148"/>
      <c r="C124" s="148"/>
      <c r="D124" s="310"/>
      <c r="E124" s="148"/>
      <c r="F124" s="182"/>
      <c r="G124" s="182"/>
      <c r="H124" s="182"/>
      <c r="I124" s="182"/>
      <c r="J124" s="182"/>
      <c r="K124" s="148"/>
      <c r="L124" s="182"/>
      <c r="M124" s="148"/>
      <c r="N124" s="182"/>
      <c r="O124" s="182"/>
    </row>
    <row r="125" spans="1:15" x14ac:dyDescent="0.2">
      <c r="A125" s="148"/>
      <c r="B125" s="148"/>
      <c r="C125" s="148"/>
      <c r="D125" s="310"/>
      <c r="E125" s="148"/>
      <c r="F125" s="182"/>
      <c r="G125" s="182"/>
      <c r="H125" s="182"/>
      <c r="I125" s="182"/>
      <c r="J125" s="182"/>
      <c r="K125" s="148"/>
      <c r="L125" s="182"/>
      <c r="M125" s="148"/>
      <c r="N125" s="182"/>
      <c r="O125" s="182"/>
    </row>
    <row r="126" spans="1:15" x14ac:dyDescent="0.2">
      <c r="A126" s="148"/>
      <c r="B126" s="148"/>
      <c r="C126" s="148"/>
      <c r="D126" s="310"/>
      <c r="E126" s="148"/>
      <c r="F126" s="182"/>
      <c r="G126" s="182"/>
      <c r="H126" s="182"/>
      <c r="I126" s="182"/>
      <c r="J126" s="182"/>
      <c r="K126" s="148"/>
      <c r="L126" s="182"/>
      <c r="M126" s="148"/>
      <c r="N126" s="182"/>
      <c r="O126" s="182"/>
    </row>
    <row r="127" spans="1:15" x14ac:dyDescent="0.2">
      <c r="A127" s="148"/>
      <c r="B127" s="148"/>
      <c r="C127" s="148"/>
      <c r="D127" s="310"/>
      <c r="E127" s="148"/>
      <c r="F127" s="182"/>
      <c r="G127" s="182"/>
      <c r="H127" s="182"/>
      <c r="I127" s="182"/>
      <c r="J127" s="182"/>
      <c r="K127" s="148"/>
      <c r="L127" s="182"/>
      <c r="M127" s="148"/>
      <c r="N127" s="182"/>
      <c r="O127" s="182"/>
    </row>
    <row r="128" spans="1:15" x14ac:dyDescent="0.2">
      <c r="A128" s="148"/>
      <c r="B128" s="148"/>
      <c r="C128" s="148"/>
      <c r="D128" s="310"/>
      <c r="E128" s="148"/>
      <c r="F128" s="182"/>
      <c r="G128" s="182"/>
      <c r="H128" s="182"/>
      <c r="I128" s="182"/>
      <c r="J128" s="182"/>
      <c r="K128" s="148"/>
      <c r="L128" s="182"/>
      <c r="M128" s="148"/>
      <c r="N128" s="182"/>
      <c r="O128" s="182"/>
    </row>
    <row r="129" spans="1:15" x14ac:dyDescent="0.2">
      <c r="A129" s="148"/>
      <c r="B129" s="148"/>
      <c r="C129" s="148"/>
      <c r="D129" s="310"/>
      <c r="E129" s="148"/>
      <c r="F129" s="182"/>
      <c r="G129" s="182"/>
      <c r="H129" s="182"/>
      <c r="I129" s="182"/>
      <c r="J129" s="182"/>
      <c r="K129" s="148"/>
      <c r="L129" s="182"/>
      <c r="M129" s="148"/>
      <c r="N129" s="182"/>
      <c r="O129" s="182"/>
    </row>
    <row r="130" spans="1:15" x14ac:dyDescent="0.2">
      <c r="A130" s="148"/>
      <c r="B130" s="148"/>
      <c r="C130" s="148"/>
      <c r="D130" s="310"/>
      <c r="E130" s="148"/>
      <c r="F130" s="182"/>
      <c r="G130" s="182"/>
      <c r="H130" s="182"/>
      <c r="I130" s="182"/>
      <c r="J130" s="182"/>
      <c r="K130" s="148"/>
      <c r="L130" s="182"/>
      <c r="M130" s="148"/>
      <c r="N130" s="182"/>
      <c r="O130" s="182"/>
    </row>
    <row r="131" spans="1:15" x14ac:dyDescent="0.2">
      <c r="A131" s="148"/>
      <c r="B131" s="148"/>
      <c r="C131" s="148"/>
      <c r="D131" s="310"/>
      <c r="E131" s="148"/>
      <c r="F131" s="182"/>
      <c r="G131" s="182"/>
      <c r="H131" s="182"/>
      <c r="I131" s="182"/>
      <c r="J131" s="182"/>
      <c r="K131" s="148"/>
      <c r="L131" s="182"/>
      <c r="M131" s="148"/>
      <c r="N131" s="182"/>
      <c r="O131" s="182"/>
    </row>
    <row r="132" spans="1:15" x14ac:dyDescent="0.2">
      <c r="A132" s="148"/>
      <c r="B132" s="148"/>
      <c r="C132" s="148"/>
      <c r="D132" s="310"/>
      <c r="E132" s="148"/>
      <c r="F132" s="182"/>
      <c r="G132" s="182"/>
      <c r="H132" s="182"/>
      <c r="I132" s="182"/>
      <c r="J132" s="182"/>
      <c r="K132" s="148"/>
      <c r="L132" s="182"/>
      <c r="M132" s="148"/>
      <c r="N132" s="182"/>
      <c r="O132" s="182"/>
    </row>
    <row r="133" spans="1:15" x14ac:dyDescent="0.2">
      <c r="A133" s="148"/>
      <c r="B133" s="148"/>
      <c r="C133" s="148"/>
      <c r="D133" s="310"/>
      <c r="E133" s="148"/>
      <c r="F133" s="182"/>
      <c r="G133" s="182"/>
      <c r="H133" s="182"/>
      <c r="I133" s="182"/>
      <c r="J133" s="182"/>
      <c r="K133" s="148"/>
      <c r="L133" s="182"/>
      <c r="M133" s="148"/>
      <c r="N133" s="182"/>
      <c r="O133" s="182"/>
    </row>
    <row r="134" spans="1:15" x14ac:dyDescent="0.2">
      <c r="A134" s="148"/>
      <c r="B134" s="148"/>
      <c r="C134" s="148"/>
      <c r="D134" s="310"/>
      <c r="E134" s="148"/>
      <c r="F134" s="182"/>
      <c r="G134" s="182"/>
      <c r="H134" s="182"/>
      <c r="I134" s="182"/>
      <c r="J134" s="182"/>
      <c r="K134" s="148"/>
      <c r="L134" s="182"/>
      <c r="M134" s="148"/>
      <c r="N134" s="182"/>
      <c r="O134" s="182"/>
    </row>
    <row r="135" spans="1:15" x14ac:dyDescent="0.2">
      <c r="A135" s="148"/>
      <c r="B135" s="148"/>
      <c r="C135" s="148"/>
      <c r="D135" s="310"/>
      <c r="E135" s="148"/>
      <c r="F135" s="182"/>
      <c r="G135" s="182"/>
      <c r="H135" s="182"/>
      <c r="I135" s="182"/>
      <c r="J135" s="182"/>
      <c r="K135" s="148"/>
      <c r="L135" s="182"/>
      <c r="M135" s="148"/>
      <c r="N135" s="182"/>
      <c r="O135" s="182"/>
    </row>
    <row r="136" spans="1:15" x14ac:dyDescent="0.2">
      <c r="A136" s="148"/>
      <c r="B136" s="148"/>
      <c r="C136" s="148"/>
      <c r="D136" s="310"/>
      <c r="E136" s="148"/>
      <c r="F136" s="182"/>
      <c r="G136" s="182"/>
      <c r="H136" s="182"/>
      <c r="I136" s="182"/>
      <c r="J136" s="182"/>
      <c r="K136" s="148"/>
      <c r="L136" s="182"/>
      <c r="M136" s="148"/>
      <c r="N136" s="182"/>
      <c r="O136" s="182"/>
    </row>
    <row r="137" spans="1:15" x14ac:dyDescent="0.2">
      <c r="A137" s="148"/>
      <c r="B137" s="148"/>
      <c r="C137" s="148"/>
      <c r="D137" s="310"/>
      <c r="E137" s="148"/>
      <c r="F137" s="182"/>
      <c r="G137" s="182"/>
      <c r="H137" s="182"/>
      <c r="I137" s="182"/>
      <c r="J137" s="182"/>
      <c r="K137" s="148"/>
      <c r="L137" s="182"/>
      <c r="M137" s="148"/>
      <c r="N137" s="182"/>
      <c r="O137" s="182"/>
    </row>
    <row r="138" spans="1:15" x14ac:dyDescent="0.2">
      <c r="A138" s="148"/>
      <c r="B138" s="148"/>
      <c r="C138" s="148"/>
      <c r="D138" s="310"/>
      <c r="E138" s="148"/>
      <c r="F138" s="182"/>
      <c r="G138" s="182"/>
      <c r="H138" s="182"/>
      <c r="I138" s="182"/>
      <c r="J138" s="182"/>
      <c r="K138" s="148"/>
      <c r="L138" s="182"/>
      <c r="M138" s="148"/>
      <c r="N138" s="182"/>
      <c r="O138" s="182"/>
    </row>
    <row r="139" spans="1:15" x14ac:dyDescent="0.2">
      <c r="A139" s="148"/>
      <c r="B139" s="148"/>
      <c r="C139" s="148"/>
      <c r="D139" s="310"/>
      <c r="E139" s="148"/>
      <c r="F139" s="182"/>
      <c r="G139" s="182"/>
      <c r="H139" s="182"/>
      <c r="I139" s="182"/>
      <c r="J139" s="182"/>
      <c r="K139" s="148"/>
      <c r="L139" s="182"/>
      <c r="M139" s="148"/>
      <c r="N139" s="182"/>
      <c r="O139" s="182"/>
    </row>
    <row r="140" spans="1:15" x14ac:dyDescent="0.2">
      <c r="A140" s="148"/>
      <c r="B140" s="148"/>
      <c r="C140" s="148"/>
      <c r="D140" s="310"/>
      <c r="E140" s="148"/>
      <c r="F140" s="182"/>
      <c r="G140" s="182"/>
      <c r="H140" s="182"/>
      <c r="I140" s="182"/>
      <c r="J140" s="182"/>
      <c r="K140" s="148"/>
      <c r="L140" s="182"/>
      <c r="M140" s="148"/>
      <c r="N140" s="182"/>
      <c r="O140" s="182"/>
    </row>
    <row r="141" spans="1:15" x14ac:dyDescent="0.2">
      <c r="A141" s="148"/>
      <c r="B141" s="148"/>
      <c r="C141" s="148"/>
      <c r="D141" s="310"/>
      <c r="E141" s="148"/>
      <c r="F141" s="182"/>
      <c r="G141" s="182"/>
      <c r="H141" s="182"/>
      <c r="I141" s="182"/>
      <c r="J141" s="182"/>
      <c r="K141" s="148"/>
      <c r="L141" s="182"/>
      <c r="M141" s="148"/>
      <c r="N141" s="182"/>
      <c r="O141" s="182"/>
    </row>
    <row r="142" spans="1:15" x14ac:dyDescent="0.2">
      <c r="A142" s="148"/>
      <c r="B142" s="148"/>
      <c r="C142" s="148"/>
      <c r="D142" s="310"/>
      <c r="E142" s="148"/>
      <c r="F142" s="182"/>
      <c r="G142" s="182"/>
      <c r="H142" s="182"/>
      <c r="I142" s="182"/>
      <c r="J142" s="182"/>
      <c r="K142" s="148"/>
      <c r="L142" s="182"/>
      <c r="M142" s="148"/>
      <c r="N142" s="182"/>
      <c r="O142" s="182"/>
    </row>
    <row r="143" spans="1:15" x14ac:dyDescent="0.2">
      <c r="A143" s="148"/>
      <c r="B143" s="148"/>
      <c r="C143" s="148"/>
      <c r="D143" s="310"/>
      <c r="E143" s="148"/>
      <c r="F143" s="182"/>
      <c r="G143" s="182"/>
      <c r="H143" s="182"/>
      <c r="I143" s="182"/>
      <c r="J143" s="182"/>
      <c r="K143" s="148"/>
      <c r="L143" s="182"/>
      <c r="M143" s="148"/>
      <c r="N143" s="182"/>
      <c r="O143" s="182"/>
    </row>
    <row r="144" spans="1:15" x14ac:dyDescent="0.2">
      <c r="A144" s="148"/>
      <c r="B144" s="148"/>
      <c r="C144" s="148"/>
      <c r="D144" s="310"/>
      <c r="E144" s="148"/>
      <c r="F144" s="182"/>
      <c r="G144" s="182"/>
      <c r="H144" s="182"/>
      <c r="I144" s="182"/>
      <c r="J144" s="182"/>
      <c r="K144" s="148"/>
      <c r="L144" s="182"/>
      <c r="M144" s="148"/>
      <c r="N144" s="182"/>
      <c r="O144" s="182"/>
    </row>
    <row r="145" spans="1:15" x14ac:dyDescent="0.2">
      <c r="A145" s="148"/>
      <c r="B145" s="148"/>
      <c r="C145" s="148"/>
      <c r="D145" s="310"/>
      <c r="E145" s="148"/>
      <c r="F145" s="182"/>
      <c r="G145" s="182"/>
      <c r="H145" s="182"/>
      <c r="I145" s="182"/>
      <c r="J145" s="182"/>
      <c r="K145" s="148"/>
      <c r="L145" s="182"/>
      <c r="M145" s="148"/>
      <c r="N145" s="182"/>
      <c r="O145" s="182"/>
    </row>
    <row r="146" spans="1:15" x14ac:dyDescent="0.2">
      <c r="A146" s="148"/>
      <c r="B146" s="148"/>
      <c r="C146" s="148"/>
      <c r="D146" s="310"/>
      <c r="E146" s="148"/>
      <c r="F146" s="182"/>
      <c r="G146" s="182"/>
      <c r="H146" s="182"/>
      <c r="I146" s="182"/>
      <c r="J146" s="182"/>
      <c r="K146" s="148"/>
      <c r="L146" s="182"/>
      <c r="M146" s="148"/>
      <c r="N146" s="182"/>
      <c r="O146" s="182"/>
    </row>
    <row r="147" spans="1:15" x14ac:dyDescent="0.2">
      <c r="A147" s="148"/>
      <c r="B147" s="148"/>
      <c r="C147" s="148"/>
      <c r="D147" s="310"/>
      <c r="E147" s="148"/>
      <c r="F147" s="182"/>
      <c r="G147" s="182"/>
      <c r="H147" s="182"/>
      <c r="I147" s="182"/>
      <c r="J147" s="182"/>
      <c r="K147" s="148"/>
      <c r="L147" s="182"/>
      <c r="M147" s="148"/>
      <c r="N147" s="182"/>
      <c r="O147" s="182"/>
    </row>
    <row r="148" spans="1:15" x14ac:dyDescent="0.2">
      <c r="A148" s="148"/>
      <c r="B148" s="148"/>
      <c r="C148" s="148"/>
      <c r="D148" s="310"/>
      <c r="E148" s="148"/>
      <c r="F148" s="182"/>
      <c r="G148" s="182"/>
      <c r="H148" s="182"/>
      <c r="I148" s="182"/>
      <c r="J148" s="182"/>
      <c r="K148" s="148"/>
      <c r="L148" s="182"/>
      <c r="M148" s="148"/>
      <c r="N148" s="182"/>
      <c r="O148" s="182"/>
    </row>
    <row r="149" spans="1:15" x14ac:dyDescent="0.2">
      <c r="A149" s="148"/>
      <c r="B149" s="148"/>
      <c r="C149" s="148"/>
      <c r="D149" s="310"/>
      <c r="E149" s="148"/>
      <c r="F149" s="182"/>
      <c r="G149" s="182"/>
      <c r="H149" s="182"/>
      <c r="I149" s="182"/>
      <c r="J149" s="182"/>
      <c r="K149" s="148"/>
      <c r="L149" s="182"/>
      <c r="M149" s="148"/>
      <c r="N149" s="182"/>
      <c r="O149" s="182"/>
    </row>
    <row r="150" spans="1:15" x14ac:dyDescent="0.2">
      <c r="A150" s="148"/>
      <c r="B150" s="148"/>
      <c r="C150" s="148"/>
      <c r="D150" s="310"/>
      <c r="E150" s="148"/>
      <c r="F150" s="182"/>
      <c r="G150" s="182"/>
      <c r="H150" s="182"/>
      <c r="I150" s="182"/>
      <c r="J150" s="182"/>
      <c r="K150" s="148"/>
      <c r="L150" s="182"/>
      <c r="M150" s="148"/>
      <c r="N150" s="182"/>
      <c r="O150" s="182"/>
    </row>
    <row r="151" spans="1:15" x14ac:dyDescent="0.2">
      <c r="A151" s="148"/>
      <c r="B151" s="148"/>
      <c r="C151" s="148"/>
      <c r="D151" s="310"/>
      <c r="E151" s="148"/>
      <c r="F151" s="182"/>
      <c r="G151" s="182"/>
      <c r="H151" s="182"/>
      <c r="I151" s="182"/>
      <c r="J151" s="182"/>
      <c r="K151" s="148"/>
      <c r="L151" s="182"/>
      <c r="M151" s="148"/>
      <c r="N151" s="182"/>
      <c r="O151" s="182"/>
    </row>
    <row r="152" spans="1:15" x14ac:dyDescent="0.2">
      <c r="A152" s="148"/>
      <c r="B152" s="148"/>
      <c r="C152" s="148"/>
      <c r="D152" s="310"/>
      <c r="E152" s="148"/>
      <c r="F152" s="182"/>
      <c r="G152" s="182"/>
      <c r="H152" s="182"/>
      <c r="I152" s="182"/>
      <c r="J152" s="182"/>
      <c r="K152" s="148"/>
      <c r="L152" s="182"/>
      <c r="M152" s="148"/>
      <c r="N152" s="182"/>
      <c r="O152" s="182"/>
    </row>
    <row r="153" spans="1:15" x14ac:dyDescent="0.2">
      <c r="A153" s="148"/>
      <c r="B153" s="148"/>
      <c r="C153" s="148"/>
      <c r="D153" s="310"/>
      <c r="E153" s="148"/>
      <c r="F153" s="182"/>
      <c r="G153" s="182"/>
      <c r="H153" s="182"/>
      <c r="I153" s="182"/>
      <c r="J153" s="182"/>
      <c r="K153" s="148"/>
      <c r="L153" s="182"/>
      <c r="M153" s="148"/>
      <c r="N153" s="182"/>
      <c r="O153" s="182"/>
    </row>
    <row r="154" spans="1:15" x14ac:dyDescent="0.2">
      <c r="A154" s="148"/>
      <c r="B154" s="148"/>
      <c r="C154" s="148"/>
      <c r="D154" s="310"/>
      <c r="E154" s="148"/>
      <c r="F154" s="182"/>
      <c r="G154" s="182"/>
      <c r="H154" s="182"/>
      <c r="I154" s="182"/>
      <c r="J154" s="182"/>
      <c r="K154" s="148"/>
      <c r="L154" s="182"/>
      <c r="M154" s="148"/>
      <c r="N154" s="182"/>
      <c r="O154" s="182"/>
    </row>
    <row r="155" spans="1:15" x14ac:dyDescent="0.2">
      <c r="A155" s="148"/>
      <c r="B155" s="148"/>
      <c r="C155" s="148"/>
      <c r="D155" s="310"/>
      <c r="E155" s="148"/>
      <c r="F155" s="182"/>
      <c r="G155" s="182"/>
      <c r="H155" s="182"/>
      <c r="I155" s="182"/>
      <c r="J155" s="182"/>
      <c r="K155" s="148"/>
      <c r="L155" s="182"/>
      <c r="M155" s="148"/>
      <c r="N155" s="182"/>
      <c r="O155" s="182"/>
    </row>
    <row r="156" spans="1:15" x14ac:dyDescent="0.2">
      <c r="A156" s="148"/>
      <c r="B156" s="148"/>
      <c r="C156" s="148"/>
      <c r="D156" s="310"/>
      <c r="E156" s="148"/>
      <c r="F156" s="182"/>
      <c r="G156" s="182"/>
      <c r="H156" s="182"/>
      <c r="I156" s="182"/>
      <c r="J156" s="182"/>
      <c r="K156" s="148"/>
      <c r="L156" s="182"/>
      <c r="M156" s="148"/>
      <c r="N156" s="182"/>
      <c r="O156" s="182"/>
    </row>
    <row r="157" spans="1:15" x14ac:dyDescent="0.2">
      <c r="A157" s="148"/>
      <c r="B157" s="148"/>
      <c r="C157" s="148"/>
      <c r="D157" s="310"/>
      <c r="E157" s="148"/>
      <c r="F157" s="182"/>
      <c r="G157" s="182"/>
      <c r="H157" s="182"/>
      <c r="I157" s="182"/>
      <c r="J157" s="182"/>
      <c r="K157" s="148"/>
      <c r="L157" s="182"/>
      <c r="M157" s="148"/>
      <c r="N157" s="182"/>
      <c r="O157" s="182"/>
    </row>
    <row r="158" spans="1:15" x14ac:dyDescent="0.2">
      <c r="A158" s="148"/>
      <c r="B158" s="148"/>
      <c r="C158" s="148"/>
      <c r="D158" s="310"/>
      <c r="E158" s="148"/>
      <c r="F158" s="182"/>
      <c r="G158" s="182"/>
      <c r="H158" s="182"/>
      <c r="I158" s="182"/>
      <c r="J158" s="182"/>
      <c r="K158" s="148"/>
      <c r="L158" s="182"/>
      <c r="M158" s="148"/>
      <c r="N158" s="182"/>
      <c r="O158" s="182"/>
    </row>
    <row r="159" spans="1:15" x14ac:dyDescent="0.2">
      <c r="A159" s="148"/>
      <c r="B159" s="148"/>
      <c r="C159" s="148"/>
      <c r="D159" s="310"/>
      <c r="E159" s="148"/>
      <c r="F159" s="182"/>
      <c r="G159" s="182"/>
      <c r="H159" s="182"/>
      <c r="I159" s="182"/>
      <c r="J159" s="182"/>
      <c r="K159" s="148"/>
      <c r="L159" s="182"/>
      <c r="M159" s="148"/>
      <c r="N159" s="182"/>
      <c r="O159" s="182"/>
    </row>
    <row r="160" spans="1:15" x14ac:dyDescent="0.2">
      <c r="A160" s="148"/>
      <c r="B160" s="148"/>
      <c r="C160" s="148"/>
      <c r="D160" s="310"/>
      <c r="E160" s="148"/>
      <c r="F160" s="182"/>
      <c r="G160" s="182"/>
      <c r="H160" s="182"/>
      <c r="I160" s="182"/>
      <c r="J160" s="182"/>
      <c r="K160" s="148"/>
      <c r="L160" s="182"/>
      <c r="M160" s="148"/>
      <c r="N160" s="182"/>
      <c r="O160" s="182"/>
    </row>
    <row r="161" spans="1:15" x14ac:dyDescent="0.2">
      <c r="A161" s="148"/>
      <c r="B161" s="148"/>
      <c r="C161" s="148"/>
      <c r="D161" s="310"/>
      <c r="E161" s="148"/>
      <c r="F161" s="182"/>
      <c r="G161" s="182"/>
      <c r="H161" s="182"/>
      <c r="I161" s="182"/>
      <c r="J161" s="182"/>
      <c r="K161" s="148"/>
      <c r="L161" s="182"/>
      <c r="M161" s="148"/>
      <c r="N161" s="182"/>
      <c r="O161" s="182"/>
    </row>
    <row r="162" spans="1:15" x14ac:dyDescent="0.2">
      <c r="A162" s="148"/>
      <c r="B162" s="148"/>
      <c r="C162" s="148"/>
      <c r="D162" s="310"/>
      <c r="E162" s="148"/>
      <c r="F162" s="182"/>
      <c r="G162" s="182"/>
      <c r="H162" s="182"/>
      <c r="I162" s="182"/>
      <c r="J162" s="182"/>
      <c r="K162" s="148"/>
      <c r="L162" s="182"/>
      <c r="M162" s="148"/>
      <c r="N162" s="182"/>
      <c r="O162" s="182"/>
    </row>
    <row r="163" spans="1:15" x14ac:dyDescent="0.2">
      <c r="A163" s="148"/>
      <c r="B163" s="148"/>
      <c r="C163" s="148"/>
      <c r="D163" s="310"/>
      <c r="E163" s="148"/>
      <c r="F163" s="182"/>
      <c r="G163" s="182"/>
      <c r="H163" s="182"/>
      <c r="I163" s="182"/>
      <c r="J163" s="182"/>
      <c r="K163" s="148"/>
      <c r="L163" s="182"/>
      <c r="M163" s="148"/>
      <c r="N163" s="182"/>
      <c r="O163" s="182"/>
    </row>
    <row r="164" spans="1:15" x14ac:dyDescent="0.2">
      <c r="A164" s="148"/>
      <c r="B164" s="148"/>
      <c r="C164" s="148"/>
      <c r="D164" s="310"/>
      <c r="E164" s="148"/>
      <c r="F164" s="182"/>
      <c r="G164" s="182"/>
      <c r="H164" s="182"/>
      <c r="I164" s="182"/>
      <c r="J164" s="182"/>
      <c r="K164" s="148"/>
      <c r="L164" s="182"/>
      <c r="M164" s="148"/>
      <c r="N164" s="182"/>
      <c r="O164" s="182"/>
    </row>
    <row r="165" spans="1:15" x14ac:dyDescent="0.2">
      <c r="A165" s="148"/>
      <c r="B165" s="148"/>
      <c r="C165" s="148"/>
      <c r="D165" s="310"/>
      <c r="E165" s="148"/>
      <c r="F165" s="182"/>
      <c r="G165" s="182"/>
      <c r="H165" s="182"/>
      <c r="I165" s="182"/>
      <c r="J165" s="182"/>
      <c r="K165" s="148"/>
      <c r="L165" s="182"/>
      <c r="M165" s="148"/>
      <c r="N165" s="182"/>
      <c r="O165" s="182"/>
    </row>
    <row r="166" spans="1:15" x14ac:dyDescent="0.2">
      <c r="A166" s="148"/>
      <c r="B166" s="148"/>
      <c r="C166" s="148"/>
      <c r="D166" s="310"/>
      <c r="E166" s="148"/>
      <c r="F166" s="182"/>
      <c r="G166" s="182"/>
      <c r="H166" s="182"/>
      <c r="I166" s="182"/>
      <c r="J166" s="182"/>
      <c r="K166" s="148"/>
      <c r="L166" s="182"/>
      <c r="M166" s="148"/>
      <c r="N166" s="182"/>
      <c r="O166" s="182"/>
    </row>
    <row r="167" spans="1:15" x14ac:dyDescent="0.2">
      <c r="A167" s="148"/>
      <c r="B167" s="148"/>
      <c r="C167" s="148"/>
      <c r="D167" s="310"/>
      <c r="E167" s="148"/>
      <c r="F167" s="182"/>
      <c r="G167" s="182"/>
      <c r="H167" s="182"/>
      <c r="I167" s="182"/>
      <c r="J167" s="182"/>
      <c r="K167" s="148"/>
      <c r="L167" s="182"/>
      <c r="M167" s="148"/>
      <c r="N167" s="182"/>
      <c r="O167" s="182"/>
    </row>
    <row r="168" spans="1:15" x14ac:dyDescent="0.2">
      <c r="A168" s="148"/>
      <c r="B168" s="148"/>
      <c r="C168" s="148"/>
      <c r="D168" s="310"/>
      <c r="E168" s="148"/>
      <c r="F168" s="182"/>
      <c r="G168" s="182"/>
      <c r="H168" s="182"/>
      <c r="I168" s="182"/>
      <c r="J168" s="182"/>
      <c r="K168" s="148"/>
      <c r="L168" s="182"/>
      <c r="M168" s="148"/>
      <c r="N168" s="182"/>
      <c r="O168" s="182"/>
    </row>
    <row r="169" spans="1:15" x14ac:dyDescent="0.2">
      <c r="A169" s="148"/>
      <c r="B169" s="148"/>
      <c r="C169" s="148"/>
      <c r="D169" s="310"/>
      <c r="E169" s="148"/>
      <c r="F169" s="182"/>
      <c r="G169" s="182"/>
      <c r="H169" s="182"/>
      <c r="I169" s="182"/>
      <c r="J169" s="182"/>
      <c r="K169" s="148"/>
      <c r="L169" s="182"/>
      <c r="M169" s="148"/>
      <c r="N169" s="182"/>
      <c r="O169" s="182"/>
    </row>
    <row r="170" spans="1:15" x14ac:dyDescent="0.2">
      <c r="A170" s="148"/>
      <c r="B170" s="148"/>
      <c r="C170" s="148"/>
      <c r="D170" s="310"/>
      <c r="E170" s="148"/>
      <c r="F170" s="182"/>
      <c r="G170" s="182"/>
      <c r="H170" s="182"/>
      <c r="I170" s="182"/>
      <c r="J170" s="182"/>
      <c r="K170" s="148"/>
      <c r="L170" s="182"/>
      <c r="M170" s="148"/>
      <c r="N170" s="182"/>
      <c r="O170" s="182"/>
    </row>
    <row r="171" spans="1:15" x14ac:dyDescent="0.2">
      <c r="A171" s="148"/>
      <c r="B171" s="148"/>
      <c r="C171" s="148"/>
      <c r="D171" s="310"/>
      <c r="E171" s="148"/>
      <c r="F171" s="182"/>
      <c r="G171" s="182"/>
      <c r="H171" s="182"/>
      <c r="I171" s="182"/>
      <c r="J171" s="182"/>
      <c r="K171" s="148"/>
      <c r="L171" s="182"/>
      <c r="M171" s="148"/>
      <c r="N171" s="182"/>
      <c r="O171" s="182"/>
    </row>
    <row r="172" spans="1:15" x14ac:dyDescent="0.2">
      <c r="A172" s="148"/>
      <c r="B172" s="148"/>
      <c r="C172" s="148"/>
      <c r="D172" s="310"/>
      <c r="E172" s="148"/>
      <c r="F172" s="182"/>
      <c r="G172" s="182"/>
      <c r="H172" s="182"/>
      <c r="I172" s="182"/>
      <c r="J172" s="182"/>
      <c r="K172" s="148"/>
      <c r="L172" s="182"/>
      <c r="M172" s="148"/>
      <c r="N172" s="182"/>
      <c r="O172" s="182"/>
    </row>
    <row r="173" spans="1:15" x14ac:dyDescent="0.2">
      <c r="A173" s="148"/>
      <c r="B173" s="148"/>
      <c r="C173" s="148"/>
      <c r="D173" s="310"/>
      <c r="E173" s="148"/>
      <c r="F173" s="182"/>
      <c r="G173" s="182"/>
      <c r="H173" s="182"/>
      <c r="I173" s="182"/>
      <c r="J173" s="182"/>
      <c r="K173" s="148"/>
      <c r="L173" s="182"/>
      <c r="M173" s="148"/>
      <c r="N173" s="182"/>
      <c r="O173" s="182"/>
    </row>
    <row r="174" spans="1:15" x14ac:dyDescent="0.2">
      <c r="A174" s="148"/>
      <c r="B174" s="148"/>
      <c r="C174" s="148"/>
      <c r="D174" s="310"/>
      <c r="E174" s="148"/>
      <c r="F174" s="182"/>
      <c r="G174" s="182"/>
      <c r="H174" s="182"/>
      <c r="I174" s="182"/>
      <c r="J174" s="182"/>
      <c r="K174" s="148"/>
      <c r="L174" s="182"/>
      <c r="M174" s="148"/>
      <c r="N174" s="182"/>
      <c r="O174" s="182"/>
    </row>
    <row r="175" spans="1:15" x14ac:dyDescent="0.2">
      <c r="A175" s="148"/>
      <c r="B175" s="148"/>
      <c r="C175" s="148"/>
      <c r="D175" s="310"/>
      <c r="E175" s="148"/>
      <c r="F175" s="182"/>
      <c r="G175" s="182"/>
      <c r="H175" s="182"/>
      <c r="I175" s="182"/>
      <c r="J175" s="182"/>
      <c r="K175" s="148"/>
      <c r="L175" s="182"/>
      <c r="M175" s="148"/>
      <c r="N175" s="182"/>
      <c r="O175" s="182"/>
    </row>
    <row r="176" spans="1:15" x14ac:dyDescent="0.2">
      <c r="A176" s="148"/>
      <c r="B176" s="148"/>
      <c r="C176" s="148"/>
      <c r="D176" s="310"/>
      <c r="E176" s="148"/>
      <c r="F176" s="182"/>
      <c r="G176" s="182"/>
      <c r="H176" s="182"/>
      <c r="I176" s="182"/>
      <c r="J176" s="182"/>
      <c r="K176" s="148"/>
      <c r="L176" s="182"/>
      <c r="M176" s="148"/>
      <c r="N176" s="182"/>
      <c r="O176" s="182"/>
    </row>
    <row r="177" spans="1:15" x14ac:dyDescent="0.2">
      <c r="A177" s="148"/>
      <c r="B177" s="148"/>
      <c r="C177" s="148"/>
      <c r="D177" s="310"/>
      <c r="E177" s="148"/>
      <c r="F177" s="182"/>
      <c r="G177" s="182"/>
      <c r="H177" s="182"/>
      <c r="I177" s="182"/>
      <c r="J177" s="182"/>
      <c r="K177" s="148"/>
      <c r="L177" s="182"/>
      <c r="M177" s="148"/>
      <c r="N177" s="182"/>
      <c r="O177" s="182"/>
    </row>
    <row r="178" spans="1:15" x14ac:dyDescent="0.2">
      <c r="A178" s="148"/>
      <c r="B178" s="148"/>
      <c r="C178" s="148"/>
      <c r="D178" s="310"/>
      <c r="E178" s="148"/>
      <c r="F178" s="182"/>
      <c r="G178" s="182"/>
      <c r="H178" s="182"/>
      <c r="I178" s="182"/>
      <c r="J178" s="182"/>
      <c r="K178" s="148"/>
      <c r="L178" s="182"/>
      <c r="M178" s="148"/>
      <c r="N178" s="182"/>
      <c r="O178" s="182"/>
    </row>
    <row r="179" spans="1:15" x14ac:dyDescent="0.2">
      <c r="A179" s="148"/>
      <c r="B179" s="148"/>
      <c r="C179" s="148"/>
      <c r="D179" s="310"/>
      <c r="E179" s="148"/>
      <c r="F179" s="182"/>
      <c r="G179" s="182"/>
      <c r="H179" s="182"/>
      <c r="I179" s="182"/>
      <c r="J179" s="182"/>
      <c r="K179" s="148"/>
      <c r="L179" s="182"/>
      <c r="M179" s="148"/>
      <c r="N179" s="182"/>
      <c r="O179" s="182"/>
    </row>
    <row r="180" spans="1:15" x14ac:dyDescent="0.2">
      <c r="A180" s="148"/>
      <c r="B180" s="148"/>
      <c r="C180" s="148"/>
      <c r="D180" s="310"/>
      <c r="E180" s="148"/>
      <c r="F180" s="182"/>
      <c r="G180" s="182"/>
      <c r="H180" s="182"/>
      <c r="I180" s="182"/>
      <c r="J180" s="182"/>
      <c r="K180" s="148"/>
      <c r="L180" s="182"/>
      <c r="M180" s="148"/>
      <c r="N180" s="182"/>
      <c r="O180" s="182"/>
    </row>
    <row r="181" spans="1:15" x14ac:dyDescent="0.2">
      <c r="A181" s="148"/>
      <c r="B181" s="148"/>
      <c r="C181" s="148"/>
      <c r="D181" s="310"/>
      <c r="E181" s="148"/>
      <c r="F181" s="182"/>
      <c r="G181" s="182"/>
      <c r="H181" s="182"/>
      <c r="I181" s="182"/>
      <c r="J181" s="182"/>
      <c r="K181" s="148"/>
      <c r="L181" s="182"/>
      <c r="M181" s="148"/>
      <c r="N181" s="182"/>
      <c r="O181" s="182"/>
    </row>
    <row r="182" spans="1:15" x14ac:dyDescent="0.2">
      <c r="A182" s="148"/>
      <c r="B182" s="148"/>
      <c r="C182" s="148"/>
      <c r="D182" s="310"/>
      <c r="E182" s="148"/>
      <c r="F182" s="182"/>
      <c r="G182" s="182"/>
      <c r="H182" s="182"/>
      <c r="I182" s="182"/>
      <c r="J182" s="182"/>
      <c r="K182" s="148"/>
      <c r="L182" s="182"/>
      <c r="M182" s="148"/>
      <c r="N182" s="182"/>
      <c r="O182" s="182"/>
    </row>
    <row r="183" spans="1:15" x14ac:dyDescent="0.2">
      <c r="A183" s="148"/>
      <c r="B183" s="148"/>
      <c r="C183" s="148"/>
      <c r="D183" s="310"/>
      <c r="E183" s="148"/>
      <c r="F183" s="182"/>
      <c r="G183" s="182"/>
      <c r="H183" s="182"/>
      <c r="I183" s="182"/>
      <c r="J183" s="182"/>
      <c r="K183" s="148"/>
      <c r="L183" s="182"/>
      <c r="M183" s="148"/>
      <c r="N183" s="182"/>
      <c r="O183" s="182"/>
    </row>
    <row r="184" spans="1:15" x14ac:dyDescent="0.2">
      <c r="A184" s="148"/>
      <c r="B184" s="148"/>
      <c r="C184" s="148"/>
      <c r="D184" s="310"/>
      <c r="E184" s="148"/>
      <c r="F184" s="182"/>
      <c r="G184" s="182"/>
      <c r="H184" s="182"/>
      <c r="I184" s="182"/>
      <c r="J184" s="182"/>
      <c r="K184" s="148"/>
      <c r="L184" s="182"/>
      <c r="M184" s="148"/>
      <c r="N184" s="182"/>
      <c r="O184" s="182"/>
    </row>
    <row r="185" spans="1:15" x14ac:dyDescent="0.2">
      <c r="A185" s="148"/>
      <c r="B185" s="148"/>
      <c r="C185" s="148"/>
      <c r="D185" s="310"/>
      <c r="E185" s="148"/>
      <c r="F185" s="182"/>
      <c r="G185" s="182"/>
      <c r="H185" s="182"/>
      <c r="I185" s="182"/>
      <c r="J185" s="182"/>
      <c r="K185" s="148"/>
      <c r="L185" s="182"/>
      <c r="M185" s="148"/>
      <c r="N185" s="182"/>
      <c r="O185" s="182"/>
    </row>
    <row r="186" spans="1:15" x14ac:dyDescent="0.2">
      <c r="A186" s="148"/>
      <c r="B186" s="148"/>
      <c r="C186" s="148"/>
      <c r="D186" s="310"/>
      <c r="E186" s="148"/>
      <c r="F186" s="182"/>
      <c r="G186" s="182"/>
      <c r="H186" s="182"/>
      <c r="I186" s="182"/>
      <c r="J186" s="182"/>
      <c r="K186" s="148"/>
      <c r="L186" s="182"/>
      <c r="M186" s="148"/>
      <c r="N186" s="182"/>
      <c r="O186" s="182"/>
    </row>
    <row r="187" spans="1:15" x14ac:dyDescent="0.2">
      <c r="A187" s="148"/>
      <c r="B187" s="148"/>
      <c r="C187" s="148"/>
      <c r="D187" s="310"/>
      <c r="E187" s="148"/>
      <c r="F187" s="182"/>
      <c r="G187" s="182"/>
      <c r="H187" s="182"/>
      <c r="I187" s="182"/>
      <c r="J187" s="182"/>
      <c r="K187" s="148"/>
      <c r="L187" s="182"/>
      <c r="M187" s="148"/>
      <c r="N187" s="182"/>
      <c r="O187" s="182"/>
    </row>
    <row r="188" spans="1:15" x14ac:dyDescent="0.2">
      <c r="A188" s="148"/>
      <c r="B188" s="148"/>
      <c r="C188" s="148"/>
      <c r="D188" s="310"/>
      <c r="E188" s="148"/>
      <c r="F188" s="182"/>
      <c r="G188" s="182"/>
      <c r="H188" s="182"/>
      <c r="I188" s="182"/>
      <c r="J188" s="182"/>
      <c r="K188" s="148"/>
      <c r="L188" s="182"/>
      <c r="M188" s="148"/>
      <c r="N188" s="182"/>
      <c r="O188" s="182"/>
    </row>
    <row r="189" spans="1:15" x14ac:dyDescent="0.2">
      <c r="A189" s="148"/>
      <c r="B189" s="148"/>
      <c r="C189" s="148"/>
      <c r="D189" s="310"/>
      <c r="E189" s="148"/>
      <c r="F189" s="182"/>
      <c r="G189" s="182"/>
      <c r="H189" s="182"/>
      <c r="I189" s="182"/>
      <c r="J189" s="182"/>
      <c r="K189" s="148"/>
      <c r="L189" s="182"/>
      <c r="M189" s="148"/>
      <c r="N189" s="182"/>
      <c r="O189" s="182"/>
    </row>
    <row r="190" spans="1:15" x14ac:dyDescent="0.2">
      <c r="A190" s="148"/>
      <c r="B190" s="148"/>
      <c r="C190" s="148"/>
      <c r="D190" s="310"/>
      <c r="E190" s="148"/>
      <c r="F190" s="182"/>
      <c r="G190" s="182"/>
      <c r="H190" s="182"/>
      <c r="I190" s="182"/>
      <c r="J190" s="182"/>
      <c r="K190" s="148"/>
      <c r="L190" s="182"/>
      <c r="M190" s="148"/>
      <c r="N190" s="182"/>
      <c r="O190" s="182"/>
    </row>
    <row r="191" spans="1:15" x14ac:dyDescent="0.2">
      <c r="A191" s="148"/>
      <c r="B191" s="148"/>
      <c r="C191" s="148"/>
      <c r="D191" s="310"/>
      <c r="E191" s="148"/>
      <c r="F191" s="182"/>
      <c r="G191" s="182"/>
      <c r="H191" s="182"/>
      <c r="I191" s="182"/>
      <c r="J191" s="182"/>
      <c r="K191" s="148"/>
      <c r="L191" s="182"/>
      <c r="M191" s="148"/>
      <c r="N191" s="182"/>
      <c r="O191" s="182"/>
    </row>
    <row r="192" spans="1:15" x14ac:dyDescent="0.2">
      <c r="A192" s="148"/>
      <c r="B192" s="148"/>
      <c r="C192" s="148"/>
      <c r="D192" s="310"/>
      <c r="E192" s="148"/>
      <c r="F192" s="182"/>
      <c r="G192" s="182"/>
      <c r="H192" s="182"/>
      <c r="I192" s="182"/>
      <c r="J192" s="182"/>
      <c r="K192" s="148"/>
      <c r="L192" s="182"/>
      <c r="M192" s="148"/>
      <c r="N192" s="182"/>
      <c r="O192" s="182"/>
    </row>
    <row r="193" spans="1:15" x14ac:dyDescent="0.2">
      <c r="A193" s="148"/>
      <c r="B193" s="148"/>
      <c r="C193" s="148"/>
      <c r="D193" s="310"/>
      <c r="E193" s="148"/>
      <c r="F193" s="182"/>
      <c r="G193" s="182"/>
      <c r="H193" s="182"/>
      <c r="I193" s="182"/>
      <c r="J193" s="182"/>
      <c r="K193" s="148"/>
      <c r="L193" s="182"/>
      <c r="M193" s="148"/>
      <c r="N193" s="182"/>
      <c r="O193" s="182"/>
    </row>
    <row r="194" spans="1:15" x14ac:dyDescent="0.2">
      <c r="A194" s="148"/>
      <c r="B194" s="148"/>
      <c r="C194" s="148"/>
      <c r="D194" s="310"/>
      <c r="E194" s="148"/>
      <c r="F194" s="182"/>
      <c r="G194" s="182"/>
      <c r="H194" s="182"/>
      <c r="I194" s="182"/>
      <c r="J194" s="182"/>
      <c r="K194" s="148"/>
      <c r="L194" s="182"/>
      <c r="M194" s="148"/>
      <c r="N194" s="182"/>
      <c r="O194" s="182"/>
    </row>
    <row r="195" spans="1:15" x14ac:dyDescent="0.2">
      <c r="A195" s="148"/>
      <c r="B195" s="148"/>
      <c r="C195" s="148"/>
      <c r="D195" s="310"/>
      <c r="E195" s="148"/>
      <c r="F195" s="182"/>
      <c r="G195" s="182"/>
      <c r="H195" s="182"/>
      <c r="I195" s="182"/>
      <c r="J195" s="182"/>
      <c r="K195" s="148"/>
      <c r="L195" s="182"/>
      <c r="M195" s="148"/>
      <c r="N195" s="182"/>
      <c r="O195" s="182"/>
    </row>
    <row r="196" spans="1:15" x14ac:dyDescent="0.2">
      <c r="A196" s="148"/>
      <c r="B196" s="148"/>
      <c r="C196" s="148"/>
      <c r="D196" s="310"/>
      <c r="E196" s="148"/>
      <c r="F196" s="182"/>
      <c r="G196" s="182"/>
      <c r="H196" s="182"/>
      <c r="I196" s="182"/>
      <c r="J196" s="182"/>
      <c r="K196" s="148"/>
      <c r="L196" s="182"/>
      <c r="M196" s="148"/>
      <c r="N196" s="182"/>
      <c r="O196" s="182"/>
    </row>
    <row r="197" spans="1:15" x14ac:dyDescent="0.2">
      <c r="A197" s="148"/>
      <c r="B197" s="148"/>
      <c r="C197" s="148"/>
      <c r="D197" s="310"/>
      <c r="E197" s="148"/>
      <c r="F197" s="182"/>
      <c r="G197" s="182"/>
      <c r="H197" s="182"/>
      <c r="I197" s="182"/>
      <c r="J197" s="182"/>
      <c r="K197" s="148"/>
      <c r="L197" s="182"/>
      <c r="M197" s="148"/>
      <c r="N197" s="182"/>
      <c r="O197" s="182"/>
    </row>
    <row r="198" spans="1:15" x14ac:dyDescent="0.2">
      <c r="A198" s="148"/>
      <c r="B198" s="148"/>
      <c r="C198" s="148"/>
      <c r="D198" s="310"/>
      <c r="E198" s="148"/>
      <c r="F198" s="182"/>
      <c r="G198" s="182"/>
      <c r="H198" s="182"/>
      <c r="I198" s="182"/>
      <c r="J198" s="182"/>
      <c r="K198" s="148"/>
      <c r="L198" s="182"/>
      <c r="M198" s="148"/>
      <c r="N198" s="182"/>
      <c r="O198" s="182"/>
    </row>
    <row r="199" spans="1:15" x14ac:dyDescent="0.2">
      <c r="A199" s="148"/>
      <c r="B199" s="148"/>
      <c r="C199" s="148"/>
      <c r="D199" s="310"/>
      <c r="E199" s="148"/>
      <c r="F199" s="182"/>
      <c r="G199" s="182"/>
      <c r="H199" s="182"/>
      <c r="I199" s="182"/>
      <c r="J199" s="182"/>
      <c r="K199" s="148"/>
      <c r="L199" s="182"/>
      <c r="M199" s="148"/>
      <c r="N199" s="182"/>
      <c r="O199" s="182"/>
    </row>
    <row r="200" spans="1:15" x14ac:dyDescent="0.2">
      <c r="A200" s="148"/>
      <c r="B200" s="148"/>
      <c r="C200" s="148"/>
      <c r="D200" s="310"/>
      <c r="E200" s="148"/>
      <c r="F200" s="182"/>
      <c r="G200" s="182"/>
      <c r="H200" s="182"/>
      <c r="I200" s="182"/>
      <c r="J200" s="182"/>
      <c r="K200" s="148"/>
      <c r="L200" s="182"/>
      <c r="M200" s="148"/>
      <c r="N200" s="182"/>
      <c r="O200" s="182"/>
    </row>
    <row r="201" spans="1:15" x14ac:dyDescent="0.2">
      <c r="A201" s="148"/>
      <c r="B201" s="148"/>
      <c r="C201" s="148"/>
      <c r="D201" s="310"/>
      <c r="E201" s="148"/>
      <c r="F201" s="182"/>
      <c r="G201" s="182"/>
      <c r="H201" s="182"/>
      <c r="I201" s="182"/>
      <c r="J201" s="182"/>
      <c r="K201" s="148"/>
      <c r="L201" s="182"/>
      <c r="M201" s="148"/>
      <c r="N201" s="182"/>
      <c r="O201" s="182"/>
    </row>
    <row r="202" spans="1:15" x14ac:dyDescent="0.2">
      <c r="A202" s="148"/>
      <c r="B202" s="148"/>
      <c r="C202" s="148"/>
      <c r="D202" s="310"/>
      <c r="E202" s="148"/>
      <c r="F202" s="182"/>
      <c r="G202" s="182"/>
      <c r="H202" s="182"/>
      <c r="I202" s="182"/>
      <c r="J202" s="182"/>
      <c r="K202" s="148"/>
      <c r="L202" s="182"/>
      <c r="M202" s="148"/>
      <c r="N202" s="182"/>
      <c r="O202" s="182"/>
    </row>
    <row r="203" spans="1:15" x14ac:dyDescent="0.2">
      <c r="A203" s="148"/>
      <c r="B203" s="148"/>
      <c r="C203" s="148"/>
      <c r="D203" s="310"/>
      <c r="E203" s="148"/>
      <c r="F203" s="182"/>
      <c r="G203" s="182"/>
      <c r="H203" s="182"/>
      <c r="I203" s="182"/>
      <c r="J203" s="182"/>
      <c r="K203" s="148"/>
      <c r="L203" s="182"/>
      <c r="M203" s="148"/>
      <c r="N203" s="182"/>
      <c r="O203" s="182"/>
    </row>
  </sheetData>
  <phoneticPr fontId="45" type="noConversion"/>
  <hyperlinks>
    <hyperlink ref="A2" r:id="rId1" xr:uid="{00000000-0004-0000-0000-000000000000}"/>
    <hyperlink ref="A3" r:id="rId2" xr:uid="{00000000-0004-0000-0000-000001000000}"/>
    <hyperlink ref="AB15" r:id="rId3" xr:uid="{8F938BD2-97BA-49DC-897E-083A54A102DA}"/>
    <hyperlink ref="AB16" r:id="rId4" xr:uid="{B6F98118-5B6F-4B41-A034-7DD0C838FDC0}"/>
    <hyperlink ref="AB17" r:id="rId5" xr:uid="{92A736B1-FB45-4BF5-8E3F-3F4C586837FB}"/>
  </hyperlinks>
  <pageMargins left="0.7" right="0.7" top="0.75" bottom="0.75" header="0.3" footer="0.3"/>
  <pageSetup scale="60" orientation="landscape" horizontalDpi="4294967295" verticalDpi="4294967295" r:id="rId6"/>
  <headerFooter>
    <oddHeader>&amp;C&amp;F&amp;R&amp;D</oddHead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workbookViewId="0">
      <selection activeCell="A36" sqref="A36:A37"/>
    </sheetView>
  </sheetViews>
  <sheetFormatPr defaultRowHeight="12.75" x14ac:dyDescent="0.2"/>
  <cols>
    <col min="1" max="1" width="21.5703125" bestFit="1" customWidth="1"/>
    <col min="2" max="2" width="19.85546875" bestFit="1" customWidth="1"/>
    <col min="6" max="6" width="10.140625" customWidth="1"/>
  </cols>
  <sheetData>
    <row r="1" spans="1:15" ht="15" x14ac:dyDescent="0.25">
      <c r="A1" s="6"/>
      <c r="B1" s="6"/>
      <c r="C1" s="65"/>
      <c r="D1" s="65"/>
      <c r="E1" s="63"/>
      <c r="F1" s="40" t="s">
        <v>53</v>
      </c>
      <c r="G1" s="40" t="s">
        <v>51</v>
      </c>
      <c r="H1" s="40" t="s">
        <v>48</v>
      </c>
      <c r="I1" s="40" t="s">
        <v>44</v>
      </c>
      <c r="J1" s="40" t="s">
        <v>44</v>
      </c>
      <c r="K1" s="19" t="s">
        <v>40</v>
      </c>
      <c r="L1" s="40" t="s">
        <v>38</v>
      </c>
      <c r="M1" s="40" t="s">
        <v>36</v>
      </c>
      <c r="N1" s="37"/>
      <c r="O1" s="33"/>
    </row>
    <row r="2" spans="1:15" ht="15" x14ac:dyDescent="0.25">
      <c r="A2" s="6"/>
      <c r="B2" s="6"/>
      <c r="C2" s="17"/>
      <c r="D2" s="17"/>
      <c r="E2" s="62"/>
      <c r="F2" s="39" t="s">
        <v>52</v>
      </c>
      <c r="G2" s="39" t="s">
        <v>50</v>
      </c>
      <c r="H2" s="39" t="s">
        <v>47</v>
      </c>
      <c r="I2" s="39" t="s">
        <v>45</v>
      </c>
      <c r="J2" s="39" t="s">
        <v>43</v>
      </c>
      <c r="K2" s="18" t="s">
        <v>39</v>
      </c>
      <c r="L2" s="39" t="s">
        <v>37</v>
      </c>
      <c r="M2" s="39" t="s">
        <v>35</v>
      </c>
      <c r="N2" s="36"/>
      <c r="O2" s="33"/>
    </row>
    <row r="3" spans="1:15" ht="15" x14ac:dyDescent="0.25">
      <c r="A3" s="79"/>
      <c r="B3" s="88" t="s">
        <v>106</v>
      </c>
      <c r="C3" s="89" t="s">
        <v>58</v>
      </c>
      <c r="D3" s="90" t="s">
        <v>94</v>
      </c>
      <c r="E3" s="91" t="s">
        <v>95</v>
      </c>
      <c r="F3" s="38" t="s">
        <v>70</v>
      </c>
      <c r="G3" s="38" t="s">
        <v>68</v>
      </c>
      <c r="H3" s="38" t="s">
        <v>66</v>
      </c>
      <c r="I3" s="38" t="s">
        <v>64</v>
      </c>
      <c r="J3" s="38" t="s">
        <v>62</v>
      </c>
      <c r="K3" s="38" t="s">
        <v>60</v>
      </c>
      <c r="L3" s="38" t="s">
        <v>58</v>
      </c>
      <c r="M3" s="38" t="s">
        <v>57</v>
      </c>
      <c r="N3" s="35" t="s">
        <v>56</v>
      </c>
      <c r="O3" s="33" t="s">
        <v>93</v>
      </c>
    </row>
    <row r="4" spans="1:15" ht="15" x14ac:dyDescent="0.25">
      <c r="A4" s="94" t="s">
        <v>107</v>
      </c>
      <c r="B4" s="67" t="s">
        <v>103</v>
      </c>
      <c r="C4" s="86">
        <f>IF(B14="Classified", $L$24, IF(C14=1,$L$27,IF(C14=2, $L$28,$L$29)))</f>
        <v>0</v>
      </c>
      <c r="D4" s="85"/>
      <c r="E4" s="61">
        <v>1</v>
      </c>
      <c r="F4" s="34">
        <f>ROUND((D4*KEEP!$H$28),0)</f>
        <v>0</v>
      </c>
      <c r="G4" s="34">
        <f>IF(D4&lt;KEEP!$H$29,ROUND((+D4*KEEP!$F$29),0),ROUND((+KEEP!$H$29*KEEP!$F$29),0))</f>
        <v>0</v>
      </c>
      <c r="H4" s="34">
        <f>IF(B4="Y",  0, IF(E4&gt;49%,KEEP!$E$30*12,0))</f>
        <v>0</v>
      </c>
      <c r="I4" s="34">
        <f>IF(E4&gt;90%,KEEP!$E$31*12,E4*173.33*0.1144*12)</f>
        <v>219</v>
      </c>
      <c r="J4" s="34">
        <f>IF(E4&gt;90%,KEEP!$E$32*12,E4*173.33*0.0888*12)</f>
        <v>181</v>
      </c>
      <c r="K4" s="44">
        <f>ROUND((D4*KEEP!$H$33),0)</f>
        <v>0</v>
      </c>
      <c r="L4" s="41">
        <f>ROUND((D4*C4),0)</f>
        <v>0</v>
      </c>
      <c r="M4" s="41">
        <f>ROUND((D4*KEEP!$H$36),0)</f>
        <v>0</v>
      </c>
      <c r="N4" s="34">
        <f>SUM(F4:M4)</f>
        <v>400</v>
      </c>
      <c r="O4" s="32">
        <f t="shared" ref="O4:O9" si="0">IFERROR(N4/D4, 0)</f>
        <v>0</v>
      </c>
    </row>
    <row r="5" spans="1:15" ht="15" x14ac:dyDescent="0.25">
      <c r="A5" s="94" t="s">
        <v>108</v>
      </c>
      <c r="B5" s="67" t="s">
        <v>104</v>
      </c>
      <c r="C5" s="86">
        <f>IF(B15="Classified", $L$24, IF(C15=1,$L$27,IF(C15=2, $L$28,$L$29)))</f>
        <v>0</v>
      </c>
      <c r="D5" s="85"/>
      <c r="E5" s="61">
        <v>1</v>
      </c>
      <c r="F5" s="34">
        <f>ROUND((D5*KEEP!$H$28),0)</f>
        <v>0</v>
      </c>
      <c r="G5" s="34">
        <f>IF(D5&lt;KEEP!$H$29,ROUND((+D5*KEEP!$F$29),0),ROUND((+KEEP!$H$29*KEEP!$F$29),0))</f>
        <v>0</v>
      </c>
      <c r="H5" s="34">
        <f>IF(B5="Y",  0, IF(E5&gt;49%,KEEP!$E$30*12,0))</f>
        <v>11712</v>
      </c>
      <c r="I5" s="34">
        <f>IF(E5&gt;90%,KEEP!$E$31*12,E5*173.33*0.1144*12)</f>
        <v>219</v>
      </c>
      <c r="J5" s="34">
        <f>IF(E5&gt;90%,KEEP!$E$32*12,E5*173.33*0.0888*12)</f>
        <v>181</v>
      </c>
      <c r="K5" s="44">
        <f>ROUND((D5*KEEP!$H$33),0)</f>
        <v>0</v>
      </c>
      <c r="L5" s="41">
        <f t="shared" ref="L5:L9" si="1">ROUND((D5*C5),0)</f>
        <v>0</v>
      </c>
      <c r="M5" s="41">
        <f>ROUND((D5*KEEP!$H$36),0)</f>
        <v>0</v>
      </c>
      <c r="N5" s="34">
        <f t="shared" ref="N5:N9" si="2">SUM(F5:M5)</f>
        <v>12112</v>
      </c>
      <c r="O5" s="32">
        <f t="shared" si="0"/>
        <v>0</v>
      </c>
    </row>
    <row r="6" spans="1:15" ht="15" x14ac:dyDescent="0.25">
      <c r="A6" s="94" t="s">
        <v>109</v>
      </c>
      <c r="B6" s="67"/>
      <c r="C6" s="86">
        <f>IF(B16="Classified", $L$24, IF(C16=1,$L$27,IF(C16=2, $L$28,$L$29)))</f>
        <v>0</v>
      </c>
      <c r="D6" s="85">
        <v>0</v>
      </c>
      <c r="E6" s="61">
        <v>1</v>
      </c>
      <c r="F6" s="34">
        <f>ROUND((D6*KEEP!$H$28),0)</f>
        <v>0</v>
      </c>
      <c r="G6" s="34">
        <f>IF(D6&lt;KEEP!$H$29,ROUND((+D6*KEEP!$F$29),0),ROUND((+KEEP!$H$29*KEEP!$F$29),0))</f>
        <v>0</v>
      </c>
      <c r="H6" s="34">
        <f>IF(B6="Y",  0, IF(E6&gt;49%,KEEP!$E$30*12,0))</f>
        <v>11712</v>
      </c>
      <c r="I6" s="34">
        <f>IF(E6&gt;90%,KEEP!$E$31*12,E6*173.33*0.1144*12)</f>
        <v>219</v>
      </c>
      <c r="J6" s="34">
        <f>IF(E6&gt;90%,KEEP!$E$32*12,E6*173.33*0.0888*12)</f>
        <v>181</v>
      </c>
      <c r="K6" s="44">
        <f>ROUND((D6*KEEP!$H$33),0)</f>
        <v>0</v>
      </c>
      <c r="L6" s="41">
        <f t="shared" si="1"/>
        <v>0</v>
      </c>
      <c r="M6" s="41">
        <f>ROUND((D6*KEEP!$H$36),0)</f>
        <v>0</v>
      </c>
      <c r="N6" s="34">
        <f t="shared" si="2"/>
        <v>12112</v>
      </c>
      <c r="O6" s="32">
        <f t="shared" si="0"/>
        <v>0</v>
      </c>
    </row>
    <row r="7" spans="1:15" ht="15" x14ac:dyDescent="0.25">
      <c r="A7" s="95" t="s">
        <v>110</v>
      </c>
      <c r="B7" s="67"/>
      <c r="C7" s="86">
        <f>IF(B17="Classified", $L$24, IF(C17=1,$L$27,IF(C17=2, $L$28,$L$29)))</f>
        <v>0</v>
      </c>
      <c r="D7" s="85"/>
      <c r="E7" s="61"/>
      <c r="F7" s="34">
        <f>ROUND((D7*KEEP!$H$28),0)</f>
        <v>0</v>
      </c>
      <c r="G7" s="34">
        <f>IF(D7&lt;KEEP!$H$29,ROUND((+D7*KEEP!$F$29),0),ROUND((+KEEP!$H$29*KEEP!$F$29),0))</f>
        <v>0</v>
      </c>
      <c r="H7" s="34">
        <f>IF(B7="Y",  0, IF(E7&gt;49%,KEEP!$E$30*12,0))</f>
        <v>0</v>
      </c>
      <c r="I7" s="34">
        <f>IF(E7&gt;90%,KEEP!$E$31*12,E7*173.33*0.1144*12)</f>
        <v>0</v>
      </c>
      <c r="J7" s="34">
        <f>IF(E7&gt;90%,KEEP!$E$32*12,E7*173.33*0.0888*12)</f>
        <v>0</v>
      </c>
      <c r="K7" s="44">
        <f>ROUND((D7*KEEP!$H$33),0)</f>
        <v>0</v>
      </c>
      <c r="L7" s="41">
        <f t="shared" si="1"/>
        <v>0</v>
      </c>
      <c r="M7" s="41">
        <f>ROUND((D7*KEEP!$H$36),0)</f>
        <v>0</v>
      </c>
      <c r="N7" s="34">
        <f t="shared" si="2"/>
        <v>0</v>
      </c>
      <c r="O7" s="32">
        <f t="shared" si="0"/>
        <v>0</v>
      </c>
    </row>
    <row r="8" spans="1:15" ht="15" x14ac:dyDescent="0.25">
      <c r="A8" s="95" t="s">
        <v>111</v>
      </c>
      <c r="B8" s="67"/>
      <c r="C8" s="81"/>
      <c r="D8" s="85">
        <v>0</v>
      </c>
      <c r="E8" s="61">
        <v>0.25</v>
      </c>
      <c r="F8" s="34">
        <f>ROUND((D8*KEEP!$H$28),0)</f>
        <v>0</v>
      </c>
      <c r="G8" s="34">
        <f>IF(D8&lt;KEEP!$H$29,ROUND((+D8*KEEP!$F$29),0),ROUND((+KEEP!$H$29*KEEP!$F$29),0))</f>
        <v>0</v>
      </c>
      <c r="H8" s="112">
        <f>H18</f>
        <v>0</v>
      </c>
      <c r="I8" s="34">
        <f>IF(E8&gt;90%,KEEP!$E$31*12,E8*173.33*0.1144*12)</f>
        <v>59</v>
      </c>
      <c r="J8" s="34">
        <f>IF(E8&gt;90%,KEEP!$E$32*12,E8*173.33*0.0888*12)</f>
        <v>46</v>
      </c>
      <c r="K8" s="44">
        <f>ROUND((D8*KEEP!$H$33),0)</f>
        <v>0</v>
      </c>
      <c r="L8" s="41">
        <f t="shared" si="1"/>
        <v>0</v>
      </c>
      <c r="M8" s="41">
        <f>ROUND((D8*KEEP!$H$36),0)</f>
        <v>0</v>
      </c>
      <c r="N8" s="34">
        <f t="shared" si="2"/>
        <v>105</v>
      </c>
      <c r="O8" s="32">
        <f t="shared" si="0"/>
        <v>0</v>
      </c>
    </row>
    <row r="9" spans="1:15" ht="15" x14ac:dyDescent="0.25">
      <c r="A9" s="95" t="s">
        <v>112</v>
      </c>
      <c r="B9" s="67"/>
      <c r="C9" s="81"/>
      <c r="D9" s="85"/>
      <c r="E9" s="61">
        <v>0</v>
      </c>
      <c r="F9" s="34">
        <f>ROUND((D9*KEEP!$H$28),0)</f>
        <v>0</v>
      </c>
      <c r="G9" s="34">
        <f>IF(D9&lt;KEEP!$H$29,ROUND((+D9*KEEP!$F$29),0),ROUND((+KEEP!$H$29*KEEP!$F$29),0))</f>
        <v>0</v>
      </c>
      <c r="H9" s="80"/>
      <c r="I9" s="34">
        <f>IF(E9&gt;90%,KEEP!$E$31*12,E9*173.33*0.1144*12)</f>
        <v>0</v>
      </c>
      <c r="J9" s="34">
        <f>IF(E9&gt;90%,KEEP!$E$32*12,E9*173.33*0.0888*12)</f>
        <v>0</v>
      </c>
      <c r="K9" s="44">
        <f>ROUND((D9*KEEP!$H$33),0)</f>
        <v>0</v>
      </c>
      <c r="L9" s="41">
        <f t="shared" si="1"/>
        <v>0</v>
      </c>
      <c r="M9" s="41">
        <f>ROUND((D9*KEEP!$H$36),0)</f>
        <v>0</v>
      </c>
      <c r="N9" s="34">
        <f t="shared" si="2"/>
        <v>0</v>
      </c>
      <c r="O9" s="32">
        <f t="shared" si="0"/>
        <v>0</v>
      </c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2"/>
    </row>
    <row r="11" spans="1:15" ht="12.75" customHeight="1" x14ac:dyDescent="0.2">
      <c r="A11" s="4"/>
      <c r="B11" s="344" t="s">
        <v>115</v>
      </c>
      <c r="C11" s="345" t="s">
        <v>114</v>
      </c>
      <c r="D11" s="344" t="s">
        <v>130</v>
      </c>
    </row>
    <row r="12" spans="1:15" x14ac:dyDescent="0.2">
      <c r="A12" s="5"/>
      <c r="B12" s="344"/>
      <c r="C12" s="346"/>
      <c r="D12" s="347"/>
      <c r="E12" s="2"/>
      <c r="F12" s="2"/>
      <c r="G12" s="2"/>
      <c r="H12" s="2"/>
      <c r="I12" s="2"/>
      <c r="J12" s="2"/>
    </row>
    <row r="13" spans="1:15" x14ac:dyDescent="0.2">
      <c r="A13" s="4"/>
      <c r="B13" s="344"/>
      <c r="C13" s="346"/>
      <c r="D13" s="347"/>
    </row>
    <row r="14" spans="1:15" x14ac:dyDescent="0.2">
      <c r="A14" s="113" t="str">
        <f>Main!A5</f>
        <v>Faculty / Research Assoc. #1</v>
      </c>
      <c r="B14" s="114" t="s">
        <v>121</v>
      </c>
      <c r="C14" s="115">
        <v>2</v>
      </c>
      <c r="D14" s="116">
        <v>1</v>
      </c>
      <c r="J14" s="2"/>
    </row>
    <row r="15" spans="1:15" x14ac:dyDescent="0.2">
      <c r="A15" s="113" t="str">
        <f>Main!A6</f>
        <v>Faculty / Research Assoc. #2</v>
      </c>
      <c r="B15" s="114" t="s">
        <v>122</v>
      </c>
      <c r="C15" s="115">
        <v>3</v>
      </c>
      <c r="D15" s="116">
        <v>2</v>
      </c>
    </row>
    <row r="16" spans="1:15" x14ac:dyDescent="0.2">
      <c r="A16" s="113" t="str">
        <f>Main!A9</f>
        <v>Post Doc / Staff #1</v>
      </c>
      <c r="B16" s="114" t="s">
        <v>123</v>
      </c>
      <c r="C16" s="115">
        <v>1</v>
      </c>
      <c r="D16" s="116">
        <v>3</v>
      </c>
    </row>
    <row r="17" spans="1:16" x14ac:dyDescent="0.2">
      <c r="A17" s="113" t="e">
        <f>Main!#REF!</f>
        <v>#REF!</v>
      </c>
      <c r="B17" s="114" t="s">
        <v>123</v>
      </c>
      <c r="C17" s="115">
        <v>1</v>
      </c>
      <c r="D17" s="116">
        <v>16</v>
      </c>
    </row>
    <row r="20" spans="1:16" x14ac:dyDescent="0.2">
      <c r="O20" s="2"/>
      <c r="P20" s="2"/>
    </row>
    <row r="21" spans="1:16" ht="15" x14ac:dyDescent="0.25">
      <c r="A21" s="55" t="s">
        <v>96</v>
      </c>
      <c r="B21" s="54"/>
      <c r="D21" s="87" t="s">
        <v>113</v>
      </c>
      <c r="E21" s="87"/>
      <c r="F21" s="87"/>
      <c r="G21" s="87"/>
      <c r="H21" s="87"/>
      <c r="I21" s="87"/>
      <c r="J21" s="87"/>
      <c r="M21" s="87"/>
      <c r="O21" s="3"/>
      <c r="P21" s="3"/>
    </row>
    <row r="22" spans="1:16" x14ac:dyDescent="0.2">
      <c r="A22" s="49" t="s">
        <v>72</v>
      </c>
      <c r="B22" s="48" t="s">
        <v>71</v>
      </c>
      <c r="C22" s="2"/>
      <c r="D22" s="2"/>
      <c r="E22" s="2"/>
      <c r="F22" s="2"/>
      <c r="G22" s="87"/>
      <c r="H22" s="87"/>
      <c r="I22" s="87"/>
      <c r="J22" s="87"/>
      <c r="K22" s="2"/>
      <c r="L22" s="2"/>
      <c r="M22" s="87"/>
      <c r="N22" s="2"/>
      <c r="O22" s="3"/>
      <c r="P22" s="3"/>
    </row>
    <row r="23" spans="1:16" x14ac:dyDescent="0.2">
      <c r="A23" s="19" t="s">
        <v>101</v>
      </c>
      <c r="B23" s="45">
        <v>0.1283</v>
      </c>
      <c r="C23" s="3"/>
      <c r="D23" s="96" t="s">
        <v>115</v>
      </c>
      <c r="E23" s="97"/>
      <c r="F23" s="104" t="s">
        <v>114</v>
      </c>
      <c r="G23" s="105"/>
      <c r="H23" s="87"/>
      <c r="I23" s="87"/>
      <c r="J23" s="87"/>
      <c r="K23" s="3"/>
      <c r="L23" s="3"/>
      <c r="M23" s="87"/>
      <c r="N23" s="3"/>
      <c r="O23" s="3"/>
      <c r="P23" s="3"/>
    </row>
    <row r="24" spans="1:16" x14ac:dyDescent="0.2">
      <c r="A24" s="83" t="s">
        <v>102</v>
      </c>
      <c r="B24" s="84">
        <v>0.15409999999999999</v>
      </c>
      <c r="C24" s="3"/>
      <c r="D24" s="98"/>
      <c r="E24" s="99" t="s">
        <v>121</v>
      </c>
      <c r="F24" s="106" t="s">
        <v>127</v>
      </c>
      <c r="G24" s="107">
        <v>1</v>
      </c>
      <c r="H24" s="87"/>
      <c r="I24" s="87"/>
      <c r="J24" s="3"/>
      <c r="L24" s="3"/>
      <c r="M24" s="3"/>
      <c r="N24" s="3"/>
      <c r="O24" s="3"/>
      <c r="P24" s="3"/>
    </row>
    <row r="25" spans="1:16" x14ac:dyDescent="0.2">
      <c r="A25" s="83" t="s">
        <v>100</v>
      </c>
      <c r="B25" s="84">
        <v>8.9300000000000004E-2</v>
      </c>
      <c r="C25" s="3"/>
      <c r="D25" s="100"/>
      <c r="E25" s="99" t="s">
        <v>122</v>
      </c>
      <c r="F25" s="106" t="s">
        <v>128</v>
      </c>
      <c r="G25" s="107">
        <v>2</v>
      </c>
      <c r="H25" s="87"/>
      <c r="I25" s="87"/>
      <c r="J25" s="3"/>
      <c r="K25" s="3"/>
      <c r="L25" s="3"/>
      <c r="M25" s="3"/>
    </row>
    <row r="26" spans="1:16" x14ac:dyDescent="0.2">
      <c r="A26" s="19" t="s">
        <v>97</v>
      </c>
      <c r="B26" s="45">
        <v>0.05</v>
      </c>
      <c r="C26" s="3"/>
      <c r="D26" s="100"/>
      <c r="E26" s="99" t="s">
        <v>123</v>
      </c>
      <c r="F26" s="108" t="s">
        <v>129</v>
      </c>
      <c r="G26" s="109">
        <v>3</v>
      </c>
      <c r="H26" s="87"/>
      <c r="I26" s="87"/>
      <c r="J26" s="3"/>
      <c r="K26" s="3"/>
      <c r="L26" s="3"/>
      <c r="M26" s="3"/>
      <c r="N26" s="2"/>
      <c r="O26" s="2"/>
      <c r="P26" s="2"/>
    </row>
    <row r="27" spans="1:16" x14ac:dyDescent="0.2">
      <c r="A27" s="19" t="s">
        <v>98</v>
      </c>
      <c r="B27" s="45">
        <v>7.4999999999999997E-2</v>
      </c>
      <c r="C27" s="3"/>
      <c r="D27" s="101"/>
      <c r="E27" s="99" t="s">
        <v>126</v>
      </c>
    </row>
    <row r="28" spans="1:16" x14ac:dyDescent="0.2">
      <c r="A28" s="82" t="s">
        <v>99</v>
      </c>
      <c r="B28" s="42">
        <v>0.1</v>
      </c>
      <c r="C28" s="3"/>
      <c r="D28" s="102"/>
      <c r="E28" s="103" t="s">
        <v>125</v>
      </c>
      <c r="F28" s="2"/>
      <c r="G28" s="2"/>
      <c r="H28" s="2"/>
      <c r="I28" s="2"/>
      <c r="J28" s="2"/>
      <c r="K28" s="2"/>
      <c r="L28" s="2"/>
      <c r="M28" s="2"/>
    </row>
    <row r="29" spans="1:16" x14ac:dyDescent="0.2">
      <c r="E29" s="7"/>
      <c r="N29" s="1"/>
      <c r="O29" s="1"/>
      <c r="P29" s="1"/>
    </row>
    <row r="30" spans="1:16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">
      <c r="I31" s="1"/>
      <c r="J31" s="1"/>
      <c r="K31" s="1"/>
      <c r="L31" s="1"/>
      <c r="M31" s="1"/>
      <c r="N31" s="1"/>
      <c r="O31" s="1"/>
      <c r="P31" s="1"/>
    </row>
    <row r="33" spans="1:8" ht="12.75" customHeight="1" x14ac:dyDescent="0.2">
      <c r="B33" s="340" t="s">
        <v>115</v>
      </c>
      <c r="C33" s="342" t="s">
        <v>132</v>
      </c>
      <c r="D33" s="340" t="s">
        <v>120</v>
      </c>
      <c r="E33" s="340" t="s">
        <v>117</v>
      </c>
      <c r="F33" s="340" t="s">
        <v>118</v>
      </c>
      <c r="G33" s="340" t="s">
        <v>119</v>
      </c>
      <c r="H33" s="342" t="s">
        <v>116</v>
      </c>
    </row>
    <row r="34" spans="1:8" x14ac:dyDescent="0.2">
      <c r="A34" s="2"/>
      <c r="B34" s="340"/>
      <c r="C34" s="343"/>
      <c r="D34" s="341"/>
      <c r="E34" s="341"/>
      <c r="F34" s="341"/>
      <c r="G34" s="341"/>
      <c r="H34" s="343"/>
    </row>
    <row r="35" spans="1:8" x14ac:dyDescent="0.2">
      <c r="B35" s="340"/>
      <c r="C35" s="343"/>
      <c r="D35" s="341"/>
      <c r="E35" s="341"/>
      <c r="F35" s="341"/>
      <c r="G35" s="341"/>
      <c r="H35" s="343"/>
    </row>
    <row r="36" spans="1:8" x14ac:dyDescent="0.2">
      <c r="A36" s="92"/>
      <c r="B36" s="93" t="s">
        <v>124</v>
      </c>
      <c r="C36" s="93"/>
      <c r="D36" s="111"/>
      <c r="E36" s="111"/>
      <c r="F36" s="111"/>
      <c r="G36" s="111"/>
      <c r="H36" s="111">
        <f>IF(D36="y", 809,0)</f>
        <v>0</v>
      </c>
    </row>
    <row r="37" spans="1:8" x14ac:dyDescent="0.2">
      <c r="A37" s="92"/>
      <c r="B37" s="93" t="s">
        <v>131</v>
      </c>
      <c r="C37" s="93"/>
      <c r="D37" s="93"/>
      <c r="E37" s="93"/>
      <c r="F37" s="93"/>
      <c r="G37" s="93"/>
      <c r="H37" s="111">
        <f>IF(E36="y", 597,0)</f>
        <v>0</v>
      </c>
    </row>
    <row r="38" spans="1:8" x14ac:dyDescent="0.2">
      <c r="H38" s="111">
        <f>IF(F36="y", 557,0)</f>
        <v>0</v>
      </c>
    </row>
    <row r="39" spans="1:8" x14ac:dyDescent="0.2">
      <c r="H39" s="111">
        <f>IF(G36="y",464,0)</f>
        <v>0</v>
      </c>
    </row>
    <row r="40" spans="1:8" x14ac:dyDescent="0.2">
      <c r="H40" s="110">
        <f>SUM(H36:H39)</f>
        <v>0</v>
      </c>
    </row>
  </sheetData>
  <mergeCells count="10">
    <mergeCell ref="G33:G35"/>
    <mergeCell ref="H33:H35"/>
    <mergeCell ref="B11:B13"/>
    <mergeCell ref="C11:C13"/>
    <mergeCell ref="D11:D13"/>
    <mergeCell ref="B33:B35"/>
    <mergeCell ref="C33:C35"/>
    <mergeCell ref="D33:D35"/>
    <mergeCell ref="E33:E35"/>
    <mergeCell ref="F33:F35"/>
  </mergeCells>
  <dataValidations count="2">
    <dataValidation type="list" allowBlank="1" showInputMessage="1" showErrorMessage="1" sqref="C14:C17" xr:uid="{00000000-0002-0000-0100-000000000000}">
      <formula1>$Q$25:$Q$27</formula1>
    </dataValidation>
    <dataValidation type="list" allowBlank="1" showInputMessage="1" showErrorMessage="1" sqref="B14:B17" xr:uid="{00000000-0002-0000-0100-000001000000}">
      <formula1>$O$25:$O$29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workbookViewId="0">
      <selection activeCell="L35" sqref="L35"/>
    </sheetView>
  </sheetViews>
  <sheetFormatPr defaultColWidth="8" defaultRowHeight="12.75" x14ac:dyDescent="0.2"/>
  <cols>
    <col min="1" max="1" width="2.42578125" style="8" customWidth="1"/>
    <col min="2" max="3" width="8" style="8" customWidth="1"/>
    <col min="4" max="4" width="25.28515625" style="8" customWidth="1"/>
    <col min="5" max="5" width="10.140625" style="8" customWidth="1"/>
    <col min="6" max="6" width="14.140625" style="8" customWidth="1"/>
    <col min="7" max="7" width="19.5703125" style="8" customWidth="1"/>
    <col min="8" max="8" width="9.85546875" style="8" bestFit="1" customWidth="1"/>
    <col min="9" max="9" width="15.140625" style="8" customWidth="1"/>
    <col min="10" max="10" width="13.5703125" style="8" customWidth="1"/>
    <col min="11" max="11" width="9.5703125" style="8" customWidth="1"/>
    <col min="12" max="12" width="11.28515625" style="8" customWidth="1"/>
    <col min="13" max="17" width="8" style="8"/>
    <col min="18" max="18" width="9.5703125" style="8" bestFit="1" customWidth="1"/>
    <col min="19" max="20" width="8" style="8"/>
    <col min="21" max="21" width="11.140625" style="8" bestFit="1" customWidth="1"/>
    <col min="22" max="22" width="8" style="8"/>
    <col min="23" max="23" width="18.140625" style="8" bestFit="1" customWidth="1"/>
    <col min="24" max="16384" width="8" style="8"/>
  </cols>
  <sheetData>
    <row r="1" spans="1:11" ht="15" x14ac:dyDescent="0.25">
      <c r="A1" s="350" t="s">
        <v>92</v>
      </c>
      <c r="B1" s="350"/>
      <c r="C1" s="350"/>
      <c r="D1" s="350"/>
      <c r="E1" s="350"/>
      <c r="F1" s="350"/>
      <c r="G1" s="350"/>
      <c r="H1" s="350"/>
    </row>
    <row r="2" spans="1:11" ht="15" x14ac:dyDescent="0.25">
      <c r="A2" s="350" t="s">
        <v>91</v>
      </c>
      <c r="B2" s="350"/>
      <c r="C2" s="350"/>
      <c r="D2" s="350"/>
      <c r="E2" s="350"/>
      <c r="F2" s="350"/>
      <c r="G2" s="350"/>
      <c r="H2" s="350"/>
      <c r="I2" s="70"/>
      <c r="J2" s="71"/>
      <c r="K2" s="20"/>
    </row>
    <row r="3" spans="1:11" ht="15" x14ac:dyDescent="0.25">
      <c r="A3" s="351" t="s">
        <v>148</v>
      </c>
      <c r="B3" s="352"/>
      <c r="C3" s="352"/>
      <c r="D3" s="352"/>
      <c r="E3" s="352"/>
      <c r="F3" s="352"/>
      <c r="G3" s="352"/>
      <c r="H3" s="352"/>
      <c r="I3" s="70"/>
      <c r="J3" s="71"/>
      <c r="K3" s="20"/>
    </row>
    <row r="4" spans="1:11" x14ac:dyDescent="0.2">
      <c r="A4" s="78" t="s">
        <v>90</v>
      </c>
      <c r="B4" s="72"/>
      <c r="C4" s="72"/>
      <c r="D4" s="77"/>
      <c r="E4" s="72"/>
      <c r="F4" s="72"/>
      <c r="G4" s="72"/>
      <c r="H4" s="72"/>
      <c r="I4" s="70"/>
      <c r="J4" s="71"/>
      <c r="K4" s="20"/>
    </row>
    <row r="5" spans="1:11" x14ac:dyDescent="0.2">
      <c r="A5" s="74"/>
      <c r="B5" s="75" t="s">
        <v>89</v>
      </c>
      <c r="C5" s="75"/>
      <c r="D5" s="74"/>
      <c r="E5" s="73"/>
      <c r="F5" s="73"/>
      <c r="G5" s="72"/>
      <c r="H5" s="72"/>
      <c r="I5" s="70"/>
      <c r="J5" s="71"/>
      <c r="K5" s="20"/>
    </row>
    <row r="6" spans="1:11" x14ac:dyDescent="0.2">
      <c r="A6" s="74"/>
      <c r="B6" s="76" t="s">
        <v>88</v>
      </c>
      <c r="C6" s="75"/>
      <c r="D6" s="74"/>
      <c r="E6" s="73"/>
      <c r="F6" s="73"/>
      <c r="G6" s="72"/>
      <c r="H6" s="72"/>
      <c r="I6" s="70"/>
      <c r="J6" s="71"/>
      <c r="K6" s="20"/>
    </row>
    <row r="7" spans="1:11" ht="15" customHeight="1" x14ac:dyDescent="0.25">
      <c r="A7" s="20"/>
      <c r="B7" s="70"/>
      <c r="C7" s="70"/>
      <c r="D7" s="70"/>
      <c r="E7" s="70"/>
      <c r="F7" s="70"/>
      <c r="G7" s="70"/>
      <c r="H7" s="70"/>
      <c r="I7" s="353" t="s">
        <v>87</v>
      </c>
      <c r="J7" s="353"/>
      <c r="K7" s="353"/>
    </row>
    <row r="8" spans="1:11" ht="27.6" customHeight="1" x14ac:dyDescent="0.25">
      <c r="A8" s="20"/>
      <c r="B8" s="354" t="s">
        <v>86</v>
      </c>
      <c r="C8" s="354"/>
      <c r="D8" s="355"/>
      <c r="E8" s="355"/>
      <c r="F8" s="20"/>
      <c r="G8" s="69" t="s">
        <v>85</v>
      </c>
      <c r="I8" s="68" t="s">
        <v>84</v>
      </c>
      <c r="J8" s="68" t="s">
        <v>83</v>
      </c>
      <c r="K8" s="68" t="s">
        <v>82</v>
      </c>
    </row>
    <row r="9" spans="1:11" ht="15" customHeight="1" x14ac:dyDescent="0.25">
      <c r="A9" s="20"/>
      <c r="B9" s="65" t="s">
        <v>81</v>
      </c>
      <c r="C9" s="17"/>
      <c r="D9" s="18"/>
      <c r="E9" s="67">
        <v>0.05</v>
      </c>
      <c r="F9" s="20" t="s">
        <v>20</v>
      </c>
      <c r="G9" s="66">
        <f>SUM(E10+E24)</f>
        <v>86961</v>
      </c>
      <c r="I9" s="60" t="str">
        <f>IF($K$9&gt;0,$K$9*$E$10,"$     -")</f>
        <v>$     -</v>
      </c>
      <c r="J9" s="60" t="str">
        <f>IF($K$9&gt;0,$K$9*$E$24,"$     -")</f>
        <v>$     -</v>
      </c>
      <c r="K9" s="59"/>
    </row>
    <row r="10" spans="1:11" ht="14.25" x14ac:dyDescent="0.2">
      <c r="A10" s="20"/>
      <c r="B10" s="65" t="s">
        <v>80</v>
      </c>
      <c r="C10" s="17"/>
      <c r="D10" s="17"/>
      <c r="E10" s="64">
        <v>66000</v>
      </c>
      <c r="F10" s="20"/>
      <c r="I10" s="60" t="str">
        <f>IF($K$10&gt;0,$K$10*$E$10,"$     -")</f>
        <v>$     -</v>
      </c>
      <c r="J10" s="60" t="str">
        <f>IF($K$10&gt;0,$K$10*$E$24,"$     -")</f>
        <v>$     -</v>
      </c>
      <c r="K10" s="59"/>
    </row>
    <row r="11" spans="1:11" ht="14.25" x14ac:dyDescent="0.2">
      <c r="A11" s="20"/>
      <c r="B11" s="63" t="s">
        <v>79</v>
      </c>
      <c r="C11" s="62"/>
      <c r="D11" s="62"/>
      <c r="E11" s="61">
        <v>1</v>
      </c>
      <c r="F11" s="20"/>
      <c r="I11" s="60" t="str">
        <f>IF($K$11&gt;0,$K$11*$E$10,"$     -")</f>
        <v>$     -</v>
      </c>
      <c r="J11" s="60" t="str">
        <f>IF($K$11&gt;0,$K$11*$E$24,"$     -")</f>
        <v>$     -</v>
      </c>
      <c r="K11" s="59"/>
    </row>
    <row r="12" spans="1:11" ht="12.6" customHeight="1" x14ac:dyDescent="0.2">
      <c r="A12" s="20"/>
      <c r="B12" s="17"/>
      <c r="C12" s="17"/>
      <c r="D12" s="17"/>
      <c r="E12" s="58"/>
      <c r="F12" s="17"/>
      <c r="I12" s="57">
        <f>SUM(I9:I11)</f>
        <v>0</v>
      </c>
      <c r="J12" s="57">
        <f>SUM(J9:J11)</f>
        <v>0</v>
      </c>
      <c r="K12" s="56">
        <f>SUM(K9:K11)</f>
        <v>0</v>
      </c>
    </row>
    <row r="13" spans="1:11" ht="12.6" customHeight="1" x14ac:dyDescent="0.25">
      <c r="A13" s="20"/>
      <c r="B13" s="348" t="s">
        <v>78</v>
      </c>
      <c r="C13" s="349"/>
      <c r="D13" s="349"/>
      <c r="E13" s="349"/>
      <c r="F13" s="17"/>
      <c r="G13" s="55" t="s">
        <v>77</v>
      </c>
      <c r="H13" s="54"/>
      <c r="I13" s="17"/>
      <c r="J13" s="17"/>
      <c r="K13" s="20"/>
    </row>
    <row r="14" spans="1:11" ht="27" customHeight="1" x14ac:dyDescent="0.2">
      <c r="A14" s="20"/>
      <c r="B14" s="53" t="s">
        <v>76</v>
      </c>
      <c r="C14" s="52" t="s">
        <v>75</v>
      </c>
      <c r="D14" s="51" t="s">
        <v>74</v>
      </c>
      <c r="E14" s="50" t="s">
        <v>73</v>
      </c>
      <c r="F14" s="17"/>
      <c r="G14" s="49" t="s">
        <v>72</v>
      </c>
      <c r="H14" s="48" t="s">
        <v>71</v>
      </c>
      <c r="I14" s="17"/>
      <c r="J14" s="17" t="s">
        <v>105</v>
      </c>
      <c r="K14" s="20"/>
    </row>
    <row r="15" spans="1:11" ht="15" x14ac:dyDescent="0.25">
      <c r="A15" s="20"/>
      <c r="B15" s="40" t="s">
        <v>53</v>
      </c>
      <c r="C15" s="39" t="s">
        <v>52</v>
      </c>
      <c r="D15" s="38" t="s">
        <v>70</v>
      </c>
      <c r="E15" s="34">
        <f>ROUND((+$E$10*$H$28),0)</f>
        <v>957</v>
      </c>
      <c r="F15" s="17"/>
      <c r="G15" s="46" t="s">
        <v>69</v>
      </c>
      <c r="H15" s="45">
        <v>0.1283</v>
      </c>
      <c r="I15" s="17"/>
      <c r="J15" s="17"/>
      <c r="K15" s="20"/>
    </row>
    <row r="16" spans="1:11" ht="15" x14ac:dyDescent="0.25">
      <c r="A16" s="20"/>
      <c r="B16" s="40" t="s">
        <v>51</v>
      </c>
      <c r="C16" s="39" t="s">
        <v>50</v>
      </c>
      <c r="D16" s="38" t="s">
        <v>68</v>
      </c>
      <c r="E16" s="34">
        <f>IF($E$10&lt;$H$29,ROUND((+$E$10*$F$29),0),ROUND((+$H$29*$F$29),0))</f>
        <v>4092</v>
      </c>
      <c r="F16" s="17"/>
      <c r="G16" s="46" t="s">
        <v>67</v>
      </c>
      <c r="H16" s="45">
        <v>0.15409999999999999</v>
      </c>
      <c r="I16" s="17"/>
      <c r="J16" s="17"/>
      <c r="K16" s="20"/>
    </row>
    <row r="17" spans="1:11" ht="15" x14ac:dyDescent="0.25">
      <c r="A17" s="20"/>
      <c r="B17" s="40" t="s">
        <v>48</v>
      </c>
      <c r="C17" s="39" t="s">
        <v>47</v>
      </c>
      <c r="D17" s="38" t="s">
        <v>66</v>
      </c>
      <c r="E17" s="34">
        <f>H30</f>
        <v>11712</v>
      </c>
      <c r="F17" s="17"/>
      <c r="G17" s="46" t="s">
        <v>65</v>
      </c>
      <c r="H17" s="45">
        <v>8.77E-2</v>
      </c>
      <c r="I17" s="17"/>
      <c r="J17" s="17"/>
      <c r="K17" s="20"/>
    </row>
    <row r="18" spans="1:11" ht="15" x14ac:dyDescent="0.25">
      <c r="A18" s="20"/>
      <c r="B18" s="40" t="s">
        <v>44</v>
      </c>
      <c r="C18" s="39" t="s">
        <v>45</v>
      </c>
      <c r="D18" s="38" t="s">
        <v>64</v>
      </c>
      <c r="E18" s="47">
        <f>ROUND($H$31,0)</f>
        <v>219</v>
      </c>
      <c r="F18" s="17"/>
      <c r="G18" s="46" t="s">
        <v>63</v>
      </c>
      <c r="H18" s="45">
        <v>0.05</v>
      </c>
      <c r="I18" s="17"/>
      <c r="J18" s="17"/>
      <c r="K18" s="20"/>
    </row>
    <row r="19" spans="1:11" ht="15" x14ac:dyDescent="0.25">
      <c r="A19" s="20"/>
      <c r="B19" s="40" t="s">
        <v>44</v>
      </c>
      <c r="C19" s="39" t="s">
        <v>43</v>
      </c>
      <c r="D19" s="38" t="s">
        <v>62</v>
      </c>
      <c r="E19" s="47">
        <f>ROUND($H$32,0)</f>
        <v>181</v>
      </c>
      <c r="F19" s="17"/>
      <c r="G19" s="46" t="s">
        <v>61</v>
      </c>
      <c r="H19" s="45">
        <v>7.4999999999999997E-2</v>
      </c>
      <c r="I19" s="17"/>
      <c r="J19" s="17"/>
      <c r="K19" s="20"/>
    </row>
    <row r="20" spans="1:11" ht="15" x14ac:dyDescent="0.25">
      <c r="A20" s="20"/>
      <c r="B20" s="19" t="s">
        <v>40</v>
      </c>
      <c r="C20" s="18" t="s">
        <v>39</v>
      </c>
      <c r="D20" s="38" t="s">
        <v>60</v>
      </c>
      <c r="E20" s="44">
        <f>ROUND((+$E$10*$H$33),0)</f>
        <v>97</v>
      </c>
      <c r="F20" s="17"/>
      <c r="G20" s="43" t="s">
        <v>59</v>
      </c>
      <c r="H20" s="42">
        <v>0.1</v>
      </c>
      <c r="I20" s="17"/>
      <c r="J20" s="17"/>
      <c r="K20" s="20"/>
    </row>
    <row r="21" spans="1:11" s="20" customFormat="1" ht="15" x14ac:dyDescent="0.25">
      <c r="B21" s="40" t="s">
        <v>38</v>
      </c>
      <c r="C21" s="39" t="s">
        <v>37</v>
      </c>
      <c r="D21" s="38" t="s">
        <v>58</v>
      </c>
      <c r="E21" s="41">
        <f>ROUND((+$E$10*$E$9),0)</f>
        <v>3300</v>
      </c>
    </row>
    <row r="22" spans="1:11" s="20" customFormat="1" ht="12.75" customHeight="1" x14ac:dyDescent="0.25">
      <c r="B22" s="40" t="s">
        <v>145</v>
      </c>
      <c r="C22" s="39" t="s">
        <v>146</v>
      </c>
      <c r="D22" s="38" t="s">
        <v>147</v>
      </c>
      <c r="E22" s="41">
        <f>IF(OR(E9=H18,E9=H19,E9=H20),ROUND((E10*H35),0),0)</f>
        <v>330</v>
      </c>
    </row>
    <row r="23" spans="1:11" s="20" customFormat="1" ht="15" x14ac:dyDescent="0.25">
      <c r="B23" s="40" t="s">
        <v>36</v>
      </c>
      <c r="C23" s="39" t="s">
        <v>35</v>
      </c>
      <c r="D23" s="38" t="s">
        <v>57</v>
      </c>
      <c r="E23" s="41">
        <f>ROUND((+$E$10*$H$36),0)</f>
        <v>73</v>
      </c>
    </row>
    <row r="24" spans="1:11" s="20" customFormat="1" ht="15" x14ac:dyDescent="0.25">
      <c r="B24" s="37"/>
      <c r="C24" s="36"/>
      <c r="D24" s="35" t="s">
        <v>56</v>
      </c>
      <c r="E24" s="34">
        <f>SUM(E15:E23)</f>
        <v>20961</v>
      </c>
      <c r="I24" s="31"/>
    </row>
    <row r="25" spans="1:11" ht="15" x14ac:dyDescent="0.25">
      <c r="A25" s="20"/>
      <c r="B25" s="33" t="s">
        <v>55</v>
      </c>
      <c r="C25" s="33"/>
      <c r="D25" s="33"/>
      <c r="E25" s="32">
        <f>E24/E10</f>
        <v>0.31759999999999999</v>
      </c>
      <c r="F25" s="20"/>
      <c r="G25" s="20"/>
      <c r="H25" s="20"/>
      <c r="I25" s="30"/>
      <c r="K25" s="20"/>
    </row>
    <row r="26" spans="1:11" x14ac:dyDescent="0.2">
      <c r="A26" s="20"/>
      <c r="B26" s="20"/>
      <c r="C26" s="20"/>
      <c r="D26" s="20"/>
      <c r="E26" s="20"/>
      <c r="I26" s="20"/>
      <c r="K26" s="20"/>
    </row>
    <row r="27" spans="1:11" ht="15" x14ac:dyDescent="0.25">
      <c r="A27" s="20"/>
      <c r="B27" s="29" t="s">
        <v>54</v>
      </c>
      <c r="C27" s="28"/>
      <c r="D27" s="28"/>
      <c r="E27" s="28"/>
      <c r="F27" s="28"/>
      <c r="G27" s="28"/>
      <c r="H27" s="28"/>
      <c r="K27" s="20"/>
    </row>
    <row r="28" spans="1:11" x14ac:dyDescent="0.2">
      <c r="A28" s="20"/>
      <c r="B28" s="19" t="s">
        <v>53</v>
      </c>
      <c r="C28" s="18" t="s">
        <v>52</v>
      </c>
      <c r="D28" s="17" t="s">
        <v>34</v>
      </c>
      <c r="E28" s="17"/>
      <c r="F28" s="17"/>
      <c r="G28" s="17"/>
      <c r="H28" s="27">
        <v>1.4500000000000001E-2</v>
      </c>
      <c r="I28" s="8" t="s">
        <v>20</v>
      </c>
      <c r="K28" s="20"/>
    </row>
    <row r="29" spans="1:11" x14ac:dyDescent="0.2">
      <c r="A29" s="20"/>
      <c r="B29" s="19" t="s">
        <v>51</v>
      </c>
      <c r="C29" s="18" t="s">
        <v>50</v>
      </c>
      <c r="D29" s="17" t="s">
        <v>34</v>
      </c>
      <c r="E29" s="17"/>
      <c r="F29" s="16">
        <v>6.2E-2</v>
      </c>
      <c r="G29" s="17" t="s">
        <v>49</v>
      </c>
      <c r="H29" s="25">
        <v>132900</v>
      </c>
      <c r="K29" s="20"/>
    </row>
    <row r="30" spans="1:11" x14ac:dyDescent="0.2">
      <c r="A30" s="20"/>
      <c r="B30" s="19" t="s">
        <v>48</v>
      </c>
      <c r="C30" s="18" t="s">
        <v>47</v>
      </c>
      <c r="D30" s="17" t="s">
        <v>42</v>
      </c>
      <c r="E30" s="26">
        <v>976</v>
      </c>
      <c r="F30" s="17" t="s">
        <v>46</v>
      </c>
      <c r="G30" s="17"/>
      <c r="H30" s="25">
        <f>IF(E11&gt;49%,E30*12,0)</f>
        <v>11712</v>
      </c>
      <c r="K30" s="20"/>
    </row>
    <row r="31" spans="1:11" x14ac:dyDescent="0.2">
      <c r="A31" s="20"/>
      <c r="B31" s="19" t="s">
        <v>44</v>
      </c>
      <c r="C31" s="18" t="s">
        <v>45</v>
      </c>
      <c r="D31" s="17" t="s">
        <v>42</v>
      </c>
      <c r="E31" s="24">
        <v>18.28</v>
      </c>
      <c r="F31" s="17" t="s">
        <v>41</v>
      </c>
      <c r="G31" s="17"/>
      <c r="H31" s="25">
        <f>IF($E$11&gt;90%,$E$31*12,$E$11*173.33*0.1144*12)</f>
        <v>219</v>
      </c>
      <c r="I31" s="20"/>
      <c r="J31" s="20"/>
      <c r="K31" s="20" t="s">
        <v>20</v>
      </c>
    </row>
    <row r="32" spans="1:11" x14ac:dyDescent="0.2">
      <c r="A32" s="20"/>
      <c r="B32" s="19" t="s">
        <v>44</v>
      </c>
      <c r="C32" s="18" t="s">
        <v>43</v>
      </c>
      <c r="D32" s="17" t="s">
        <v>42</v>
      </c>
      <c r="E32" s="24">
        <v>15.08</v>
      </c>
      <c r="F32" s="17" t="s">
        <v>41</v>
      </c>
      <c r="G32" s="17"/>
      <c r="H32" s="23">
        <f>IF($E$11&gt;90%,$E$32*12,$E$11*173.33*0.0888*12)</f>
        <v>181</v>
      </c>
      <c r="I32" s="20"/>
      <c r="J32" s="20"/>
      <c r="K32" s="20"/>
    </row>
    <row r="33" spans="2:9" x14ac:dyDescent="0.2">
      <c r="B33" s="19" t="s">
        <v>40</v>
      </c>
      <c r="C33" s="18" t="s">
        <v>39</v>
      </c>
      <c r="D33" s="17" t="s">
        <v>34</v>
      </c>
      <c r="E33" s="22"/>
      <c r="F33" s="17"/>
      <c r="G33" s="17"/>
      <c r="H33" s="21">
        <v>1.467E-3</v>
      </c>
    </row>
    <row r="34" spans="2:9" x14ac:dyDescent="0.2">
      <c r="B34" s="19" t="s">
        <v>38</v>
      </c>
      <c r="C34" s="18" t="s">
        <v>37</v>
      </c>
      <c r="D34" s="17" t="s">
        <v>34</v>
      </c>
      <c r="E34" s="17"/>
      <c r="F34" s="17"/>
      <c r="G34" s="17"/>
      <c r="H34" s="16">
        <f>E9</f>
        <v>0.05</v>
      </c>
      <c r="I34" s="10"/>
    </row>
    <row r="35" spans="2:9" x14ac:dyDescent="0.2">
      <c r="B35" s="19" t="s">
        <v>145</v>
      </c>
      <c r="C35" s="18" t="s">
        <v>146</v>
      </c>
      <c r="D35" s="17" t="s">
        <v>34</v>
      </c>
      <c r="E35" s="17"/>
      <c r="F35" s="17"/>
      <c r="G35" s="17"/>
      <c r="H35" s="183">
        <v>5.0000000000000001E-3</v>
      </c>
      <c r="I35" s="10"/>
    </row>
    <row r="36" spans="2:9" x14ac:dyDescent="0.2">
      <c r="B36" s="15" t="s">
        <v>36</v>
      </c>
      <c r="C36" s="14" t="s">
        <v>35</v>
      </c>
      <c r="D36" s="13" t="s">
        <v>34</v>
      </c>
      <c r="E36" s="13"/>
      <c r="F36" s="13"/>
      <c r="G36" s="13"/>
      <c r="H36" s="12">
        <v>1.1000000000000001E-3</v>
      </c>
      <c r="I36" s="10"/>
    </row>
    <row r="37" spans="2:9" x14ac:dyDescent="0.2">
      <c r="F37" s="10"/>
      <c r="G37" s="10"/>
      <c r="H37" s="10"/>
    </row>
    <row r="38" spans="2:9" x14ac:dyDescent="0.2">
      <c r="B38" s="11" t="s">
        <v>33</v>
      </c>
      <c r="C38" s="10"/>
      <c r="D38" s="10"/>
      <c r="E38" s="10"/>
      <c r="F38" s="10"/>
      <c r="G38" s="10"/>
      <c r="H38" s="10"/>
    </row>
    <row r="39" spans="2:9" x14ac:dyDescent="0.2">
      <c r="B39" s="11" t="s">
        <v>32</v>
      </c>
      <c r="C39" s="10"/>
      <c r="D39" s="10"/>
      <c r="E39" s="10"/>
      <c r="F39" s="9"/>
      <c r="G39" s="9"/>
      <c r="H39" s="10"/>
    </row>
    <row r="40" spans="2:9" x14ac:dyDescent="0.2">
      <c r="B40" s="11" t="s">
        <v>31</v>
      </c>
      <c r="C40" s="10"/>
      <c r="D40" s="10"/>
      <c r="E40" s="9" t="s">
        <v>30</v>
      </c>
    </row>
  </sheetData>
  <mergeCells count="6">
    <mergeCell ref="B13:E13"/>
    <mergeCell ref="A1:H1"/>
    <mergeCell ref="A2:H2"/>
    <mergeCell ref="A3:H3"/>
    <mergeCell ref="I7:K7"/>
    <mergeCell ref="B8:E8"/>
  </mergeCells>
  <hyperlinks>
    <hyperlink ref="E40" r:id="rId1" xr:uid="{00000000-0004-0000-0200-000000000000}"/>
    <hyperlink ref="E38:G38" r:id="rId2" display="Temporary Employee Benefits Eligibility Worksheet" xr:uid="{00000000-0004-0000-0200-000001000000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8BC6FE6D0FE947829DB26AD1C70988" ma:contentTypeVersion="14" ma:contentTypeDescription="Create a new document." ma:contentTypeScope="" ma:versionID="8db0274fe714b237d6fd35300499d550">
  <xsd:schema xmlns:xsd="http://www.w3.org/2001/XMLSchema" xmlns:xs="http://www.w3.org/2001/XMLSchema" xmlns:p="http://schemas.microsoft.com/office/2006/metadata/properties" xmlns:ns1="http://schemas.microsoft.com/sharepoint/v3" xmlns:ns2="de2a02e9-0868-4e57-ac76-74d3d3e222c6" xmlns:ns3="544ea5f2-ea5f-41da-9683-7d0542c6b40d" targetNamespace="http://schemas.microsoft.com/office/2006/metadata/properties" ma:root="true" ma:fieldsID="20d31b5d0a2104dc4d57d9f25366782a" ns1:_="" ns2:_="" ns3:_="">
    <xsd:import namespace="http://schemas.microsoft.com/sharepoint/v3"/>
    <xsd:import namespace="de2a02e9-0868-4e57-ac76-74d3d3e222c6"/>
    <xsd:import namespace="544ea5f2-ea5f-41da-9683-7d0542c6b40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a02e9-0868-4e57-ac76-74d3d3e222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ea5f2-ea5f-41da-9683-7d0542c6b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48C04F-6887-4EC1-91D5-B45BC0997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e2a02e9-0868-4e57-ac76-74d3d3e222c6"/>
    <ds:schemaRef ds:uri="544ea5f2-ea5f-41da-9683-7d0542c6b4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F16A57-F3E9-432B-B603-0E0E2914AFE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e2a02e9-0868-4e57-ac76-74d3d3e222c6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44ea5f2-ea5f-41da-9683-7d0542c6b40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D9F612-5084-4459-BDC1-7FFDF16908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Sheet1</vt:lpstr>
      <vt:lpstr>KEEP</vt:lpstr>
      <vt:lpstr>Main!Print_Area</vt:lpstr>
    </vt:vector>
  </TitlesOfParts>
  <Company>WWU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 Walker</dc:creator>
  <cp:lastModifiedBy>Tracey Finch</cp:lastModifiedBy>
  <cp:lastPrinted>2020-07-28T18:08:06Z</cp:lastPrinted>
  <dcterms:created xsi:type="dcterms:W3CDTF">2002-01-08T19:54:34Z</dcterms:created>
  <dcterms:modified xsi:type="dcterms:W3CDTF">2021-05-03T15:26:48Z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0x010100EA8BC6FE6D0FE947829DB26AD1C70988</vt:lpwstr>
  </property>
</Properties>
</file>